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710" tabRatio="720" activeTab="0"/>
  </bookViews>
  <sheets>
    <sheet name="Summary" sheetId="1" r:id="rId1"/>
    <sheet name="FC AS FMAP" sheetId="2" r:id="rId2"/>
    <sheet name="TANF" sheetId="3" r:id="rId3"/>
    <sheet name="FA Adm Funds" sheetId="4" r:id="rId4"/>
    <sheet name="FA Ben Incr" sheetId="5" r:id="rId5"/>
    <sheet name="FA ABAWDs" sheetId="6" r:id="rId6"/>
    <sheet name="Child Care" sheetId="7" r:id="rId7"/>
    <sheet name="VR" sheetId="8" r:id="rId8"/>
    <sheet name="SSBG" sheetId="9" r:id="rId9"/>
    <sheet name="LIEAP" sheetId="10" r:id="rId10"/>
    <sheet name="Compare FFIS to KS Est" sheetId="11" r:id="rId11"/>
  </sheets>
  <externalReferences>
    <externalReference r:id="rId14"/>
  </externalReferences>
  <definedNames>
    <definedName name="footnote2" localSheetId="6">'Child Care'!#REF!</definedName>
    <definedName name="footnote3" localSheetId="6">'Child Care'!#REF!</definedName>
    <definedName name="_xlnm.Print_Area" localSheetId="0">'Summary'!$A$6:$M$28</definedName>
    <definedName name="_xlnm.Print_Titles" localSheetId="0">'Summary'!$1:$4</definedName>
  </definedNames>
  <calcPr fullCalcOnLoad="1"/>
</workbook>
</file>

<file path=xl/sharedStrings.xml><?xml version="1.0" encoding="utf-8"?>
<sst xmlns="http://schemas.openxmlformats.org/spreadsheetml/2006/main" count="843" uniqueCount="505">
  <si>
    <t>All Funds</t>
  </si>
  <si>
    <t>SGF</t>
  </si>
  <si>
    <t>SFY</t>
  </si>
  <si>
    <t>Cases</t>
  </si>
  <si>
    <t>Persons</t>
  </si>
  <si>
    <t>Benefit</t>
  </si>
  <si>
    <t>SFY 2009</t>
  </si>
  <si>
    <t>Increase</t>
  </si>
  <si>
    <t>Current Estimate</t>
  </si>
  <si>
    <t>Benefits</t>
  </si>
  <si>
    <t>Federal</t>
  </si>
  <si>
    <t>Total</t>
  </si>
  <si>
    <t>Kansas</t>
  </si>
  <si>
    <t>Kansas Pct</t>
  </si>
  <si>
    <t>Kansas Portion</t>
  </si>
  <si>
    <t>SFY 2010</t>
  </si>
  <si>
    <t>Program</t>
  </si>
  <si>
    <t>Percent</t>
  </si>
  <si>
    <t>Comment</t>
  </si>
  <si>
    <t>Old Formula</t>
  </si>
  <si>
    <t>New Formula</t>
  </si>
  <si>
    <t>Appropriation</t>
  </si>
  <si>
    <t>Leveraging</t>
  </si>
  <si>
    <t>Training &amp; Tech Asst</t>
  </si>
  <si>
    <t>Territories</t>
  </si>
  <si>
    <t>Total to States</t>
  </si>
  <si>
    <t>Contingency</t>
  </si>
  <si>
    <t>Block Grant</t>
  </si>
  <si>
    <t>Fuel-Oil Formula</t>
  </si>
  <si>
    <t>FY 2009 Oct 2008 Apropriation</t>
  </si>
  <si>
    <t>Recov Bill Appropriation</t>
  </si>
  <si>
    <t>Child Care</t>
  </si>
  <si>
    <t>Mandatory</t>
  </si>
  <si>
    <t>Federal Share of Matching Fund</t>
  </si>
  <si>
    <t>State  MOE</t>
  </si>
  <si>
    <t>FY 2009 FMAP Rate</t>
  </si>
  <si>
    <t>State Share of Matching Fund</t>
  </si>
  <si>
    <t>Discretionary  Including Targeted Funds</t>
  </si>
  <si>
    <t>Targeted Funds:  School Age R&amp;R</t>
  </si>
  <si>
    <t>Targeted Funds:  Quality Expansion</t>
  </si>
  <si>
    <t>Targeted Funds:  Infant Toddler</t>
  </si>
  <si>
    <t>Discretionary</t>
  </si>
  <si>
    <t>Tribes</t>
  </si>
  <si>
    <t>Technical Assistance</t>
  </si>
  <si>
    <t>Consumer Education</t>
  </si>
  <si>
    <t>Technical</t>
  </si>
  <si>
    <t>Assistance</t>
  </si>
  <si>
    <t>Consumer</t>
  </si>
  <si>
    <t>Education</t>
  </si>
  <si>
    <t>Research &amp;</t>
  </si>
  <si>
    <t>Percent of Total</t>
  </si>
  <si>
    <t>Source</t>
  </si>
  <si>
    <t>FY 2009 CCDF Estimated Allocations</t>
  </si>
  <si>
    <t>Total Federal</t>
  </si>
  <si>
    <t>Discretionary Targeted Funds</t>
  </si>
  <si>
    <t>School Age R&amp;R</t>
  </si>
  <si>
    <t>Quality Expansion</t>
  </si>
  <si>
    <t>Infant Toddler</t>
  </si>
  <si>
    <t>Discretionary Incl Targeted Funds</t>
  </si>
  <si>
    <t>Subtotal</t>
  </si>
  <si>
    <t>Evaluation</t>
  </si>
  <si>
    <t>States</t>
  </si>
  <si>
    <t>Research &amp; Evaluation</t>
  </si>
  <si>
    <t>Kansas Estimate</t>
  </si>
  <si>
    <t>VR Independent Living State Grants</t>
  </si>
  <si>
    <t>VR Centers for Independent Living</t>
  </si>
  <si>
    <t>VR Services for Older Individuals Who Are Blind</t>
  </si>
  <si>
    <t>Child Support Enforcement - Allow Incentive Funds to Match Federal Funds</t>
  </si>
  <si>
    <t>VR Client Assistance</t>
  </si>
  <si>
    <t>SUPPLEMENTAL NUTRITION ASSISTANCE PROGRAM:  AVERAGE MONTHLY PARTICIPATION (PERSONS)</t>
  </si>
  <si>
    <t>(Data as of December 30, 2008)</t>
  </si>
  <si>
    <t>State/Territory</t>
  </si>
  <si>
    <t>FY 2004</t>
  </si>
  <si>
    <t>FY 2005</t>
  </si>
  <si>
    <t>FY 2006</t>
  </si>
  <si>
    <t>FY 2007</t>
  </si>
  <si>
    <t>FY 2008</t>
  </si>
  <si>
    <t>Preliminary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</si>
  <si>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</si>
  <si>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</si>
  <si>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</si>
  <si>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</si>
  <si>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</si>
  <si>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</si>
  <si>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</si>
  <si>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</si>
  <si>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</si>
  <si>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</si>
  <si>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</si>
  <si>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</si>
  <si>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</si>
  <si>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</si>
  <si>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</si>
  <si>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</si>
  <si>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</si>
  <si>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</si>
  <si>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</si>
  <si>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</si>
  <si>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</si>
  <si>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</si>
  <si>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</si>
  <si>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</si>
  <si>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</si>
  <si>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</si>
  <si>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</si>
  <si>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</si>
  <si>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</si>
  <si>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</si>
  <si>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</si>
  <si>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</si>
  <si>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</si>
  <si>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</si>
  <si>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</si>
  <si>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</si>
  <si>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</si>
  <si>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</si>
  <si>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</si>
  <si>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</si>
  <si>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</si>
  <si>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</si>
  <si>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</si>
  <si>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</si>
  <si>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</si>
  <si>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</si>
  <si>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</si>
  <si>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</si>
  <si>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</si>
  <si>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</si>
  <si>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</si>
  <si>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</si>
  <si>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>  TOTAL</t>
  </si>
  <si>
    <t>Item</t>
  </si>
  <si>
    <t>Quarter</t>
  </si>
  <si>
    <t>State</t>
  </si>
  <si>
    <t>Weatherization</t>
  </si>
  <si>
    <t>Vocational Rehabilitation State Grants</t>
  </si>
  <si>
    <t>Supported Employment State Grants</t>
  </si>
  <si>
    <t>Independent Living State Grants</t>
  </si>
  <si>
    <t>Services for Older Blind Individuals</t>
  </si>
  <si>
    <t>Federal FY 2009 Increase</t>
  </si>
  <si>
    <t>Federal FY 2010 Increase</t>
  </si>
  <si>
    <t>State Fiscal Year 2009</t>
  </si>
  <si>
    <t>State Fiscal Year 2010</t>
  </si>
  <si>
    <t>2008</t>
  </si>
  <si>
    <t>Recov Bill</t>
  </si>
  <si>
    <t>Effective in month after enactment through Sep 2009</t>
  </si>
  <si>
    <t>Assume March 2009 effective date.</t>
  </si>
  <si>
    <t>Months</t>
  </si>
  <si>
    <t>Less USDA Administration</t>
  </si>
  <si>
    <t>Allocated to States</t>
  </si>
  <si>
    <t>Fed FY 2009</t>
  </si>
  <si>
    <t>Fed FY 2010</t>
  </si>
  <si>
    <t>Kansas Percent</t>
  </si>
  <si>
    <t>Recov Bill Funding</t>
  </si>
  <si>
    <t>State Fiscal Year 2011</t>
  </si>
  <si>
    <t>Case</t>
  </si>
  <si>
    <t>Current Estimate for Mar - Sep 2009</t>
  </si>
  <si>
    <t>HH</t>
  </si>
  <si>
    <t>Households</t>
  </si>
  <si>
    <t>Dec 2009</t>
  </si>
  <si>
    <t xml:space="preserve">Caseload </t>
  </si>
  <si>
    <t>13.6% benefit increase</t>
  </si>
  <si>
    <t>Leveraging/REACH</t>
  </si>
  <si>
    <t>Training &amp; Tech Assistance</t>
  </si>
  <si>
    <t>LIEAP Statute</t>
  </si>
  <si>
    <t>Sec 2602(b),(d)</t>
  </si>
  <si>
    <t>With additional</t>
  </si>
  <si>
    <t>$1 billion</t>
  </si>
  <si>
    <t>State of KS</t>
  </si>
  <si>
    <t>LIEAP Program</t>
  </si>
  <si>
    <t>Effective: October 1, 2009 (i.e. FY 2010)</t>
  </si>
  <si>
    <t>Pct</t>
  </si>
  <si>
    <t>United States</t>
  </si>
  <si>
    <t>FFY 2009</t>
  </si>
  <si>
    <t>Two Year</t>
  </si>
  <si>
    <t>Each Year</t>
  </si>
  <si>
    <t>Estimate</t>
  </si>
  <si>
    <t>Stimulus</t>
  </si>
  <si>
    <t>Centers for Independent Living - direct</t>
  </si>
  <si>
    <t>Kansas (with SE + COLA)</t>
  </si>
  <si>
    <t>FFY 2010</t>
  </si>
  <si>
    <t>FFY 2011</t>
  </si>
  <si>
    <t>Stimulus - Kansas</t>
  </si>
  <si>
    <t>Kansas (with SE + COLA + Stimulus)</t>
  </si>
  <si>
    <t>Notes and Assumptions:</t>
  </si>
  <si>
    <t>Assumes COLA percentage in FFY 2009 and FFY 2010 equivalent to FFY 2002 through 2007</t>
  </si>
  <si>
    <t>Submitted budget was prepared including COLA, so no additional match required</t>
  </si>
  <si>
    <t>Assumes stimulus split evenly between two years</t>
  </si>
  <si>
    <t>Assumes no match required for stimulus funds</t>
  </si>
  <si>
    <t>Assumes two year Maintenance of Effort waiver</t>
  </si>
  <si>
    <t>Assumes federal stimulus dollars spent by the end of each state fiscal year</t>
  </si>
  <si>
    <t>Centers for independent living (CILs) funding is direct to CILs - does not pass through SRS</t>
  </si>
  <si>
    <t>CILs FFY 2009 estimate based upon FFY 2008 published compared to reports provided by CILs</t>
  </si>
  <si>
    <t>Primary Sources:</t>
  </si>
  <si>
    <t>CSAVR (Council of State Administrators of Vocational Rehabilitation programs) preliminary analysis</t>
  </si>
  <si>
    <t>U.S. Department of Education Tables with state breakdowns as of 10/17/2008</t>
  </si>
  <si>
    <t>Estimated Kansas Percentage of State Allotments:</t>
  </si>
  <si>
    <t>All States</t>
  </si>
  <si>
    <t>Share</t>
  </si>
  <si>
    <t>Percentage</t>
  </si>
  <si>
    <t>Vocational Rehabilitation</t>
  </si>
  <si>
    <t>Curr Max</t>
  </si>
  <si>
    <t>Proposed Max</t>
  </si>
  <si>
    <t>4.  Suspend ABAWD Restriction</t>
  </si>
  <si>
    <t>Number of ABAWDs closed in FY 2008</t>
  </si>
  <si>
    <t>Monthly Closures</t>
  </si>
  <si>
    <t>Assume 12-mo Stay on Assistance</t>
  </si>
  <si>
    <t>Effective in month after enactment through Sep 2010</t>
  </si>
  <si>
    <t xml:space="preserve">Caseload Increase </t>
  </si>
  <si>
    <t>Adjusted Monthly Closures</t>
  </si>
  <si>
    <t>2009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</si>
  <si>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</si>
  <si>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</si>
  <si>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</si>
  <si>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</si>
  <si>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</si>
  <si>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</si>
  <si>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</si>
  <si>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</si>
  <si>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</si>
  <si>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</si>
  <si>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</si>
  <si>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</si>
  <si>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2010</t>
  </si>
  <si>
    <t>Monthly Cases</t>
  </si>
  <si>
    <t>FY Average Mo Cases</t>
  </si>
  <si>
    <t>Average Mo Benefit</t>
  </si>
  <si>
    <t>Month</t>
  </si>
  <si>
    <t>Cal Yr</t>
  </si>
  <si>
    <t>CY 2009</t>
  </si>
  <si>
    <t>Avg Mo Cases</t>
  </si>
  <si>
    <t>SFY 2011</t>
  </si>
  <si>
    <t>Dist'n</t>
  </si>
  <si>
    <t>Avg Benefit</t>
  </si>
  <si>
    <t xml:space="preserve">Direct federal funding to CILs. This funding does not pass through SRS. </t>
  </si>
  <si>
    <t>Max</t>
  </si>
  <si>
    <t>HHs</t>
  </si>
  <si>
    <t>Dec 2008</t>
  </si>
  <si>
    <t>Std</t>
  </si>
  <si>
    <t>Adj</t>
  </si>
  <si>
    <t>HHSize</t>
  </si>
  <si>
    <t>Actual</t>
  </si>
  <si>
    <t>TANF Emergency Fund</t>
  </si>
  <si>
    <t>Not Specified</t>
  </si>
  <si>
    <t>non-recurrent benefits, or subsidized employment in TANF and separate state programs, up to 25% of the state's</t>
  </si>
  <si>
    <t>Reimbursesstates for 80 percent of the increased expenditures on basic assistance (cash welfare), shortterm</t>
  </si>
  <si>
    <t>block grant. Increased caseloads and expenditures are measured on a quarterly basis, comparing each quarter in</t>
  </si>
  <si>
    <t>Q1</t>
  </si>
  <si>
    <t>Q2</t>
  </si>
  <si>
    <t>Q3</t>
  </si>
  <si>
    <t>Q4</t>
  </si>
  <si>
    <t>FFY 2007</t>
  </si>
  <si>
    <t>FFY 2008</t>
  </si>
  <si>
    <t>FY09</t>
  </si>
  <si>
    <t>FY10</t>
  </si>
  <si>
    <t>Notes:</t>
  </si>
  <si>
    <t>1) No changes to the administration have been included.</t>
  </si>
  <si>
    <t xml:space="preserve">2) No decrease for the declining penetration rate have </t>
  </si>
  <si>
    <t>been included for A/S.</t>
  </si>
  <si>
    <t xml:space="preserve">3) Increased FMAP treated for 3 Qtrs in FY 09 and 4 Qtrs in FY10, </t>
  </si>
  <si>
    <t>effectively implementing the change at the beginning of FFY 09.</t>
  </si>
  <si>
    <t>4) Above amounts include assistance only, no administration funds.</t>
  </si>
  <si>
    <t>Foster Care and Adoption Support FMAP</t>
  </si>
  <si>
    <t>Avg Mo</t>
  </si>
  <si>
    <t>Cost</t>
  </si>
  <si>
    <t>80% of</t>
  </si>
  <si>
    <t>State Fiscal Year Estimate</t>
  </si>
  <si>
    <t>Foster Care</t>
  </si>
  <si>
    <t>Adoption Support</t>
  </si>
  <si>
    <t>Base Period</t>
  </si>
  <si>
    <t>Determination of Minimum Caseload in Base Years</t>
  </si>
  <si>
    <t>Minimum</t>
  </si>
  <si>
    <t>FY</t>
  </si>
  <si>
    <t>Fiscal Year 2009 and Fiscal year 2010 to the minimum of the corresponding quarter in the base years of FY 2007 and FY 2008.</t>
  </si>
  <si>
    <t>Senate</t>
  </si>
  <si>
    <t>For an additional amount for ‘‘Social Services Block</t>
  </si>
  <si>
    <t>11 Grant,’’ $400,000,000: Provided, That notwithstanding</t>
  </si>
  <si>
    <t>12 section 2003 of the Social Security Act, funds shall be al13</t>
  </si>
  <si>
    <t>located to States on the basis of unemployment: Provided</t>
  </si>
  <si>
    <t>14 further, That these funds shall be obligated to States with15</t>
  </si>
  <si>
    <t>in 60 calendar days from the date they become available</t>
  </si>
  <si>
    <t>16 for obligation.</t>
  </si>
  <si>
    <t>Alabama................</t>
  </si>
  <si>
    <t>Alaska.................</t>
  </si>
  <si>
    <t>Arizona................</t>
  </si>
  <si>
    <t>Arkansas...............</t>
  </si>
  <si>
    <t>California.............</t>
  </si>
  <si>
    <t>Colorado...............</t>
  </si>
  <si>
    <t>Connecticut............</t>
  </si>
  <si>
    <t>Delaware...............</t>
  </si>
  <si>
    <t>District of Columbia...</t>
  </si>
  <si>
    <t>Florida................</t>
  </si>
  <si>
    <t>Georgia................</t>
  </si>
  <si>
    <t>Hawaii.................</t>
  </si>
  <si>
    <t>Idaho..................</t>
  </si>
  <si>
    <t>Illinois...............</t>
  </si>
  <si>
    <t>Indiana................</t>
  </si>
  <si>
    <t>Iowa...................</t>
  </si>
  <si>
    <t>Kansas.................</t>
  </si>
  <si>
    <t>Kentucky...............</t>
  </si>
  <si>
    <t>Louisiana..............</t>
  </si>
  <si>
    <t>Maine..................</t>
  </si>
  <si>
    <t>Maryland...............</t>
  </si>
  <si>
    <t>Massachusetts..........</t>
  </si>
  <si>
    <t>Michigan...............</t>
  </si>
  <si>
    <t>Minnesota..............</t>
  </si>
  <si>
    <t>Mississippi............</t>
  </si>
  <si>
    <t>Missouri...............</t>
  </si>
  <si>
    <t>Montana................</t>
  </si>
  <si>
    <t>Nebraska...............</t>
  </si>
  <si>
    <t>Nevada.................</t>
  </si>
  <si>
    <t>New Hampshire..........</t>
  </si>
  <si>
    <t>New Jersey.............</t>
  </si>
  <si>
    <t>New Mexico.............</t>
  </si>
  <si>
    <t>New York...............</t>
  </si>
  <si>
    <t>New York City .......</t>
  </si>
  <si>
    <t>North Carolina.........</t>
  </si>
  <si>
    <t>North Dakota...........</t>
  </si>
  <si>
    <t>Ohio...................</t>
  </si>
  <si>
    <t>Oklahoma...............</t>
  </si>
  <si>
    <t>Oregon.................</t>
  </si>
  <si>
    <t>Pennsylvania...........</t>
  </si>
  <si>
    <t>Rhode Island...........</t>
  </si>
  <si>
    <t>South Carolina.........</t>
  </si>
  <si>
    <t>South Dakota...........</t>
  </si>
  <si>
    <t>Tennessee..............</t>
  </si>
  <si>
    <t>Texas..................</t>
  </si>
  <si>
    <t>Utah...................</t>
  </si>
  <si>
    <t>Vermont................</t>
  </si>
  <si>
    <t>Virginia...............</t>
  </si>
  <si>
    <t>Washington.............</t>
  </si>
  <si>
    <t>West Virginia..........</t>
  </si>
  <si>
    <t>Wisconsin..............</t>
  </si>
  <si>
    <t>Wyoming................</t>
  </si>
  <si>
    <t>Puerto Rico............</t>
  </si>
  <si>
    <t>2007</t>
  </si>
  <si>
    <t>2008p</t>
  </si>
  <si>
    <t>Civilian Labor Force</t>
  </si>
  <si>
    <t>Number Unemployed</t>
  </si>
  <si>
    <t>Percent Unemployed</t>
  </si>
  <si>
    <t>Table 3. Civilian labor force and unemployment by state and selected area, seasonally adju</t>
  </si>
  <si>
    <t>Bureau of Labor Statistics</t>
  </si>
  <si>
    <t>(Numbers in thousands)</t>
  </si>
  <si>
    <t>Federal FY 2009</t>
  </si>
  <si>
    <t>Table 1.  Employment status of the civilian noninstitutional population 16 years of age and over by region, division, and state,</t>
  </si>
  <si>
    <t>2006-07 annual averages</t>
  </si>
  <si>
    <t>Population</t>
  </si>
  <si>
    <t>Employed</t>
  </si>
  <si>
    <t>Unemployed</t>
  </si>
  <si>
    <t>Unemployment Ratr</t>
  </si>
  <si>
    <t>2006</t>
  </si>
  <si>
    <t>Connecticut..............</t>
  </si>
  <si>
    <t>Maine....................</t>
  </si>
  <si>
    <t>Massachusetts............</t>
  </si>
  <si>
    <t>New</t>
  </si>
  <si>
    <t>Hampshire............</t>
  </si>
  <si>
    <t>Rhode</t>
  </si>
  <si>
    <t>Island.............</t>
  </si>
  <si>
    <t>Vermont..................</t>
  </si>
  <si>
    <t>Jersey...............</t>
  </si>
  <si>
    <t>York.................</t>
  </si>
  <si>
    <t>Pennsylvania.............</t>
  </si>
  <si>
    <t>Illinois.................</t>
  </si>
  <si>
    <t>Indiana..................</t>
  </si>
  <si>
    <t>Michigan.................</t>
  </si>
  <si>
    <t>Ohio.....................</t>
  </si>
  <si>
    <t>Wisconsin................</t>
  </si>
  <si>
    <t>Iowa.....................</t>
  </si>
  <si>
    <t>Kansas...................</t>
  </si>
  <si>
    <t>Minnesota................</t>
  </si>
  <si>
    <t>Missouri.................</t>
  </si>
  <si>
    <t>Nebraska.................</t>
  </si>
  <si>
    <t>Dakota.............</t>
  </si>
  <si>
    <t>Delaware.................</t>
  </si>
  <si>
    <t>Florida..................</t>
  </si>
  <si>
    <t>Georgia..................</t>
  </si>
  <si>
    <t>Maryland.................</t>
  </si>
  <si>
    <t>Virginia.................</t>
  </si>
  <si>
    <t>Virginia............</t>
  </si>
  <si>
    <t>Alabama..................</t>
  </si>
  <si>
    <t>Kentucky.................</t>
  </si>
  <si>
    <t>Mississippi..............</t>
  </si>
  <si>
    <t>Tennessee................</t>
  </si>
  <si>
    <t>Arkansas.................</t>
  </si>
  <si>
    <t>Louisiana................</t>
  </si>
  <si>
    <t>Oklahoma.................</t>
  </si>
  <si>
    <t>Texas....................</t>
  </si>
  <si>
    <t>Arizona..................</t>
  </si>
  <si>
    <t>Colorado.................</t>
  </si>
  <si>
    <t>Idaho....................</t>
  </si>
  <si>
    <t>Montana..................</t>
  </si>
  <si>
    <t>Nevada...................</t>
  </si>
  <si>
    <t>Utah.....................</t>
  </si>
  <si>
    <t>Wyoming..................</t>
  </si>
  <si>
    <t>Alaska...................</t>
  </si>
  <si>
    <t>California...............</t>
  </si>
  <si>
    <t>Hawaii...................</t>
  </si>
  <si>
    <t>Oregon...................</t>
  </si>
  <si>
    <t>Washington...............</t>
  </si>
  <si>
    <t>Puerto Rico....................</t>
  </si>
  <si>
    <t>Period</t>
  </si>
  <si>
    <t>Oct-Dec 2008</t>
  </si>
  <si>
    <t>National</t>
  </si>
  <si>
    <t>Unemploy</t>
  </si>
  <si>
    <t>Est SSBG</t>
  </si>
  <si>
    <t>Allotment</t>
  </si>
  <si>
    <t>Eight quarter suspension of current rules.</t>
  </si>
  <si>
    <t>Base</t>
  </si>
  <si>
    <t>+6.2% FMAP Increase</t>
  </si>
  <si>
    <t>FY 08 ben</t>
  </si>
  <si>
    <t>FY 2010 ben</t>
  </si>
  <si>
    <t>Projections</t>
  </si>
  <si>
    <t>Benefit Change</t>
  </si>
  <si>
    <t>Adj Factor</t>
  </si>
  <si>
    <t>75% Based on Pct of National Caseload</t>
  </si>
  <si>
    <t>25% Based on Caseload Increase</t>
  </si>
  <si>
    <t>CY 2010</t>
  </si>
  <si>
    <t>75% based on FY 2008 caseload and 25% based on caseload increase.</t>
  </si>
  <si>
    <t xml:space="preserve">13.6 percent increase over the June 2008 standard benefits. </t>
  </si>
  <si>
    <t>Food Assistance - Administration Funding</t>
  </si>
  <si>
    <t>Food Assistance - Benefit Increase</t>
  </si>
  <si>
    <t>Food Assistance - Suspend Limit on Able Bodied Workers without Dependents</t>
  </si>
  <si>
    <t>Increase in IV-E foster care assistance funds due to a 6.2% increase in FMAP</t>
  </si>
  <si>
    <t>Social Services Block Grant - $0 after Conference Committee</t>
  </si>
  <si>
    <t>LIHEAP - $0 after Conference Committee</t>
  </si>
  <si>
    <t>Emergency Food Assistance Program (TEFAP)</t>
  </si>
  <si>
    <t xml:space="preserve">      - No funding update yet from RSA for CILs direct funding</t>
  </si>
  <si>
    <t>Mental Health Institutions - Disproportionate Share</t>
  </si>
  <si>
    <t>Disablity and Behavioral Health Services - Medicaid FMAP Increase</t>
  </si>
  <si>
    <t>Direct Benefit to SGF</t>
  </si>
  <si>
    <t xml:space="preserve">Subtotal </t>
  </si>
  <si>
    <t>Direct Benefit to Kansans (These items are increases in federal funding that would fund increases in caseload or benefits to clients)</t>
  </si>
  <si>
    <t xml:space="preserve">policies will be disallowed. </t>
  </si>
  <si>
    <t>Note</t>
  </si>
  <si>
    <t>The base estimate is used to estimate the emergency funds increase, under the assumption that expansionary</t>
  </si>
  <si>
    <t>The caseload impact of recent polcies that increase the caseload, such as the work incentive policies and the Grandparents as Caregivers shift, are excluded.</t>
  </si>
  <si>
    <t>National avg mo cases</t>
  </si>
  <si>
    <t>Kansas avg mo cases</t>
  </si>
  <si>
    <t>04-08 Incr</t>
  </si>
  <si>
    <t>Work Incen</t>
  </si>
  <si>
    <t xml:space="preserve">Food Assistance Benefit Increase </t>
  </si>
  <si>
    <t>Maximum Benefit</t>
  </si>
  <si>
    <t>Current</t>
  </si>
  <si>
    <t>AARA</t>
  </si>
  <si>
    <t>Est Avg Benefit</t>
  </si>
  <si>
    <t>State Fiscal Year</t>
  </si>
  <si>
    <t>Est Mo Ben</t>
  </si>
  <si>
    <t>Avg Mo Cases [1]</t>
  </si>
  <si>
    <t>Average Mo Benefit [2]</t>
  </si>
  <si>
    <t>2/  Benefit Estimate - HH of 1</t>
  </si>
  <si>
    <t>1/ ABAWD Caseload Estimate</t>
  </si>
  <si>
    <t>70% Adj [3]</t>
  </si>
  <si>
    <t>3/  Benefit Adjustment</t>
  </si>
  <si>
    <t>Suspend ABAWD Restriction</t>
  </si>
  <si>
    <t>Estimated Fiscal Effect of Federal Stimulus Bill for SRS Programs</t>
  </si>
  <si>
    <t>Food Assistance - Administation Increase</t>
  </si>
  <si>
    <t>TEFAP</t>
  </si>
  <si>
    <t>Voc. Rehab.</t>
  </si>
  <si>
    <t>Foster Care/ Adoption</t>
  </si>
  <si>
    <t>Food Stamp Adm</t>
  </si>
  <si>
    <t>Independent Living</t>
  </si>
  <si>
    <t>Food Stamp Benefits</t>
  </si>
  <si>
    <t>Child Support Enforcement</t>
  </si>
  <si>
    <t>TANF</t>
  </si>
  <si>
    <t>DBHS-FMAP</t>
  </si>
  <si>
    <t>na</t>
  </si>
  <si>
    <t>DBHS DSH</t>
  </si>
  <si>
    <t>SRS</t>
  </si>
  <si>
    <t>Total Medicaid FMAP</t>
  </si>
  <si>
    <t>Total Medicaid DSH</t>
  </si>
  <si>
    <t>KHPA</t>
  </si>
  <si>
    <t>KDOA</t>
  </si>
  <si>
    <t>(3 quarters)</t>
  </si>
  <si>
    <t>(4 quarters)</t>
  </si>
  <si>
    <t>(2 quarters)</t>
  </si>
  <si>
    <t>Agency</t>
  </si>
  <si>
    <t>Federal Fiscal Year Estimate</t>
  </si>
  <si>
    <t>FFY 2010/11</t>
  </si>
  <si>
    <t>Difference</t>
  </si>
  <si>
    <t>FFIS-SRS</t>
  </si>
  <si>
    <t>KHPA Estimates</t>
  </si>
  <si>
    <t>FFIS Estimates</t>
  </si>
  <si>
    <t>1/  KHPA Statewide Estimates Converted to Federal Fiscal Year Estimates</t>
  </si>
  <si>
    <t>Pct Diff</t>
  </si>
  <si>
    <t>Comments</t>
  </si>
  <si>
    <t>Kansas Estimates</t>
  </si>
  <si>
    <t xml:space="preserve">  SRS Estimates</t>
  </si>
  <si>
    <t>FFIS vs Kansas Estimates</t>
  </si>
  <si>
    <t>2.5% increase</t>
  </si>
  <si>
    <t>6.2% base increase with additional adjustment for unemployment increase. (9 quarters)</t>
  </si>
  <si>
    <t>Do FFIS estimates include matching federal funds? If so, the FFIS estimate would be $8.8 m</t>
  </si>
  <si>
    <t>FFIS could never know CFS' IV-E status</t>
  </si>
  <si>
    <t>Do FFIS extend into FY 2011? If SRS estimates were extended into 2011, they would total $120 million.</t>
  </si>
  <si>
    <t>No explanation</t>
  </si>
  <si>
    <t>Note: FFIS estimates appear to include only surplus food and exclude TEFAP Administration.</t>
  </si>
  <si>
    <t>Foster Care and Adoption Support 6.2% FMAP Increase</t>
  </si>
  <si>
    <t xml:space="preserve">904,000 for purchasing surplus food, and $450,000 for state administrative shipping and warehousing costs. </t>
  </si>
  <si>
    <t>Infant/Toddler</t>
  </si>
  <si>
    <t>General Use</t>
  </si>
  <si>
    <t>Quality</t>
  </si>
  <si>
    <t>Set Aside</t>
  </si>
  <si>
    <t>Expansion</t>
  </si>
  <si>
    <t>Rounded</t>
  </si>
  <si>
    <t>Child Care Funding -                        $16.05 m general use, $1.53 quality expansion, and $.89 m infant toddlers</t>
  </si>
  <si>
    <t>A non-supplantation provision is included. No reference year specified. The FY 2010 $4,5 m SGF reduction in Child Care funding may disqualify Kansas. Also approx 26% earmarked for quality.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</si>
</sst>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_(* #,##0.0_);_(* \(#,##0.0\);_(* &quot;-&quot;??_);_(@_)"/>
  </numFmts>
  <fonts count="50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.5"/>
      <color indexed="8"/>
      <name val="Courier New"/>
      <family val="3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3.5"/>
      <color theme="1"/>
      <name val="Courier New"/>
      <family val="3"/>
    </font>
    <font>
      <i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Unicode MS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vertical="top"/>
    </xf>
    <xf numFmtId="164" fontId="0" fillId="0" borderId="0" xfId="42" applyNumberFormat="1" applyFont="1" applyAlignment="1" quotePrefix="1">
      <alignment/>
    </xf>
    <xf numFmtId="164" fontId="43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" xfId="42" applyNumberFormat="1" applyFont="1" applyBorder="1" applyAlignment="1">
      <alignment horizontal="right"/>
    </xf>
    <xf numFmtId="166" fontId="0" fillId="0" borderId="0" xfId="57" applyNumberFormat="1" applyFont="1" applyAlignment="1">
      <alignment/>
    </xf>
    <xf numFmtId="164" fontId="0" fillId="0" borderId="0" xfId="42" applyNumberFormat="1" applyFont="1" applyAlignment="1">
      <alignment vertical="top" wrapText="1"/>
    </xf>
    <xf numFmtId="164" fontId="0" fillId="0" borderId="10" xfId="42" applyNumberFormat="1" applyFont="1" applyBorder="1" applyAlignment="1">
      <alignment horizontal="right"/>
    </xf>
    <xf numFmtId="0" fontId="43" fillId="0" borderId="0" xfId="0" applyFont="1" applyAlignment="1">
      <alignment/>
    </xf>
    <xf numFmtId="164" fontId="0" fillId="0" borderId="10" xfId="42" applyNumberFormat="1" applyFont="1" applyBorder="1" applyAlignment="1">
      <alignment vertical="top" wrapText="1"/>
    </xf>
    <xf numFmtId="164" fontId="0" fillId="0" borderId="0" xfId="42" applyNumberFormat="1" applyFont="1" applyBorder="1" applyAlignment="1">
      <alignment/>
    </xf>
    <xf numFmtId="167" fontId="0" fillId="0" borderId="0" xfId="57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43" fillId="0" borderId="10" xfId="42" applyNumberFormat="1" applyFont="1" applyBorder="1" applyAlignment="1">
      <alignment/>
    </xf>
    <xf numFmtId="167" fontId="0" fillId="0" borderId="10" xfId="57" applyNumberFormat="1" applyFont="1" applyBorder="1" applyAlignment="1">
      <alignment/>
    </xf>
    <xf numFmtId="164" fontId="0" fillId="0" borderId="13" xfId="42" applyNumberFormat="1" applyFont="1" applyBorder="1" applyAlignment="1">
      <alignment vertical="top" wrapText="1"/>
    </xf>
    <xf numFmtId="164" fontId="0" fillId="0" borderId="13" xfId="42" applyNumberFormat="1" applyFont="1" applyBorder="1" applyAlignment="1">
      <alignment horizontal="left" vertical="top" wrapText="1"/>
    </xf>
    <xf numFmtId="164" fontId="0" fillId="0" borderId="13" xfId="42" applyNumberFormat="1" applyFont="1" applyBorder="1" applyAlignment="1">
      <alignment vertical="top"/>
    </xf>
    <xf numFmtId="164" fontId="0" fillId="0" borderId="14" xfId="42" applyNumberFormat="1" applyFont="1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0" xfId="42" applyNumberFormat="1" applyFont="1" applyBorder="1" applyAlignment="1">
      <alignment horizontal="right"/>
    </xf>
    <xf numFmtId="164" fontId="0" fillId="0" borderId="15" xfId="42" applyNumberFormat="1" applyFont="1" applyBorder="1" applyAlignment="1">
      <alignment vertical="top" wrapText="1"/>
    </xf>
    <xf numFmtId="164" fontId="0" fillId="0" borderId="16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10" fontId="0" fillId="0" borderId="0" xfId="57" applyNumberFormat="1" applyFont="1" applyAlignment="1">
      <alignment/>
    </xf>
    <xf numFmtId="164" fontId="0" fillId="0" borderId="10" xfId="42" applyNumberFormat="1" applyFont="1" applyBorder="1" applyAlignment="1">
      <alignment horizontal="right" vertical="top" wrapText="1"/>
    </xf>
    <xf numFmtId="164" fontId="0" fillId="0" borderId="11" xfId="42" applyNumberFormat="1" applyFont="1" applyBorder="1" applyAlignment="1">
      <alignment wrapText="1"/>
    </xf>
    <xf numFmtId="164" fontId="0" fillId="0" borderId="17" xfId="42" applyNumberFormat="1" applyFont="1" applyBorder="1" applyAlignment="1">
      <alignment horizontal="right"/>
    </xf>
    <xf numFmtId="164" fontId="0" fillId="0" borderId="11" xfId="42" applyNumberFormat="1" applyFont="1" applyBorder="1" applyAlignment="1">
      <alignment horizontal="right" wrapText="1"/>
    </xf>
    <xf numFmtId="164" fontId="0" fillId="0" borderId="18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6" xfId="42" applyNumberFormat="1" applyFont="1" applyBorder="1" applyAlignment="1">
      <alignment vertical="top" wrapText="1"/>
    </xf>
    <xf numFmtId="164" fontId="0" fillId="0" borderId="0" xfId="42" applyNumberFormat="1" applyFont="1" applyBorder="1" applyAlignment="1">
      <alignment vertical="top" wrapText="1"/>
    </xf>
    <xf numFmtId="164" fontId="0" fillId="0" borderId="13" xfId="42" applyNumberFormat="1" applyFont="1" applyBorder="1" applyAlignment="1">
      <alignment horizontal="right" vertical="top" wrapText="1"/>
    </xf>
    <xf numFmtId="164" fontId="0" fillId="0" borderId="19" xfId="42" applyNumberFormat="1" applyFont="1" applyBorder="1" applyAlignment="1">
      <alignment horizontal="right"/>
    </xf>
    <xf numFmtId="164" fontId="0" fillId="0" borderId="20" xfId="42" applyNumberFormat="1" applyFont="1" applyBorder="1" applyAlignment="1">
      <alignment vertical="top"/>
    </xf>
    <xf numFmtId="164" fontId="0" fillId="0" borderId="21" xfId="42" applyNumberFormat="1" applyFont="1" applyBorder="1" applyAlignment="1">
      <alignment vertical="top"/>
    </xf>
    <xf numFmtId="164" fontId="0" fillId="0" borderId="11" xfId="42" applyNumberFormat="1" applyFont="1" applyBorder="1" applyAlignment="1" quotePrefix="1">
      <alignment horizontal="right"/>
    </xf>
    <xf numFmtId="167" fontId="0" fillId="0" borderId="0" xfId="57" applyNumberFormat="1" applyFont="1" applyBorder="1" applyAlignment="1">
      <alignment/>
    </xf>
    <xf numFmtId="0" fontId="0" fillId="0" borderId="10" xfId="0" applyBorder="1" applyAlignment="1">
      <alignment/>
    </xf>
    <xf numFmtId="167" fontId="0" fillId="0" borderId="11" xfId="57" applyNumberFormat="1" applyFont="1" applyBorder="1" applyAlignment="1">
      <alignment/>
    </xf>
    <xf numFmtId="164" fontId="0" fillId="0" borderId="0" xfId="42" applyNumberFormat="1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13" xfId="0" applyNumberFormat="1" applyBorder="1" applyAlignment="1">
      <alignment horizontal="right"/>
    </xf>
    <xf numFmtId="164" fontId="43" fillId="0" borderId="0" xfId="42" applyNumberFormat="1" applyFont="1" applyAlignment="1">
      <alignment vertical="center"/>
    </xf>
    <xf numFmtId="164" fontId="0" fillId="0" borderId="0" xfId="42" applyNumberFormat="1" applyFont="1" applyAlignment="1">
      <alignment vertical="center"/>
    </xf>
    <xf numFmtId="164" fontId="0" fillId="0" borderId="12" xfId="42" applyNumberFormat="1" applyFont="1" applyBorder="1" applyAlignment="1">
      <alignment vertical="center"/>
    </xf>
    <xf numFmtId="164" fontId="0" fillId="0" borderId="12" xfId="42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10" xfId="42" applyNumberFormat="1" applyFont="1" applyBorder="1" applyAlignment="1">
      <alignment vertical="center"/>
    </xf>
    <xf numFmtId="166" fontId="0" fillId="0" borderId="0" xfId="57" applyNumberFormat="1" applyFont="1" applyAlignment="1">
      <alignment vertical="center"/>
    </xf>
    <xf numFmtId="164" fontId="0" fillId="0" borderId="0" xfId="42" applyNumberFormat="1" applyFont="1" applyAlignment="1">
      <alignment horizontal="right" vertical="center"/>
    </xf>
    <xf numFmtId="164" fontId="43" fillId="0" borderId="0" xfId="42" applyNumberFormat="1" applyFont="1" applyAlignment="1" quotePrefix="1">
      <alignment vertical="center"/>
    </xf>
    <xf numFmtId="164" fontId="0" fillId="0" borderId="0" xfId="42" applyNumberFormat="1" applyFont="1" applyAlignment="1" quotePrefix="1">
      <alignment vertical="center"/>
    </xf>
    <xf numFmtId="0" fontId="0" fillId="0" borderId="0" xfId="0" applyAlignment="1">
      <alignment vertical="center"/>
    </xf>
    <xf numFmtId="165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164" fontId="0" fillId="0" borderId="0" xfId="42" applyNumberFormat="1" applyFont="1" applyAlignment="1" quotePrefix="1">
      <alignment vertical="center"/>
    </xf>
    <xf numFmtId="164" fontId="0" fillId="0" borderId="10" xfId="42" applyNumberFormat="1" applyFont="1" applyBorder="1" applyAlignment="1">
      <alignment horizontal="right" vertical="center"/>
    </xf>
    <xf numFmtId="164" fontId="0" fillId="0" borderId="11" xfId="42" applyNumberFormat="1" applyFont="1" applyBorder="1" applyAlignment="1">
      <alignment vertical="center"/>
    </xf>
    <xf numFmtId="164" fontId="0" fillId="0" borderId="11" xfId="42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4" fillId="0" borderId="0" xfId="0" applyFont="1" applyAlignment="1">
      <alignment vertical="center"/>
    </xf>
    <xf numFmtId="164" fontId="0" fillId="0" borderId="10" xfId="42" applyNumberFormat="1" applyFont="1" applyBorder="1" applyAlignment="1" quotePrefix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3" fillId="0" borderId="0" xfId="0" applyFont="1" applyAlignment="1" quotePrefix="1">
      <alignment vertical="center"/>
    </xf>
    <xf numFmtId="164" fontId="43" fillId="0" borderId="10" xfId="42" applyNumberFormat="1" applyFont="1" applyBorder="1" applyAlignment="1" quotePrefix="1">
      <alignment vertical="center"/>
    </xf>
    <xf numFmtId="0" fontId="43" fillId="0" borderId="0" xfId="0" applyFont="1" applyAlignment="1">
      <alignment vertical="center"/>
    </xf>
    <xf numFmtId="164" fontId="0" fillId="0" borderId="10" xfId="42" applyNumberFormat="1" applyFont="1" applyBorder="1" applyAlignment="1">
      <alignment vertical="center"/>
    </xf>
    <xf numFmtId="164" fontId="0" fillId="0" borderId="0" xfId="42" applyNumberFormat="1" applyFont="1" applyBorder="1" applyAlignment="1">
      <alignment vertical="center"/>
    </xf>
    <xf numFmtId="164" fontId="0" fillId="0" borderId="14" xfId="42" applyNumberFormat="1" applyFont="1" applyBorder="1" applyAlignment="1">
      <alignment horizontal="right" vertical="top" wrapText="1"/>
    </xf>
    <xf numFmtId="164" fontId="45" fillId="0" borderId="0" xfId="42" applyNumberFormat="1" applyFont="1" applyAlignment="1">
      <alignment horizontal="right" vertical="center"/>
    </xf>
    <xf numFmtId="4" fontId="46" fillId="33" borderId="0" xfId="0" applyNumberFormat="1" applyFont="1" applyFill="1" applyBorder="1" applyAlignment="1">
      <alignment horizontal="right" wrapText="1"/>
    </xf>
    <xf numFmtId="9" fontId="0" fillId="0" borderId="11" xfId="57" applyFont="1" applyBorder="1" applyAlignment="1">
      <alignment vertical="center"/>
    </xf>
    <xf numFmtId="164" fontId="0" fillId="0" borderId="13" xfId="42" applyNumberFormat="1" applyFont="1" applyFill="1" applyBorder="1" applyAlignment="1">
      <alignment vertical="top" wrapText="1"/>
    </xf>
    <xf numFmtId="164" fontId="43" fillId="0" borderId="0" xfId="42" applyNumberFormat="1" applyFont="1" applyAlignment="1" quotePrefix="1">
      <alignment/>
    </xf>
    <xf numFmtId="43" fontId="0" fillId="0" borderId="0" xfId="42" applyNumberFormat="1" applyFont="1" applyAlignment="1">
      <alignment/>
    </xf>
    <xf numFmtId="164" fontId="0" fillId="0" borderId="10" xfId="42" applyNumberFormat="1" applyFont="1" applyBorder="1" applyAlignment="1" quotePrefix="1">
      <alignment horizontal="right"/>
    </xf>
    <xf numFmtId="164" fontId="0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5" xfId="42" applyNumberFormat="1" applyFont="1" applyBorder="1" applyAlignment="1" quotePrefix="1">
      <alignment vertical="top" wrapText="1"/>
    </xf>
    <xf numFmtId="10" fontId="0" fillId="0" borderId="0" xfId="57" applyNumberFormat="1" applyFont="1" applyAlignment="1">
      <alignment vertical="center"/>
    </xf>
    <xf numFmtId="165" fontId="0" fillId="0" borderId="12" xfId="57" applyNumberFormat="1" applyFont="1" applyBorder="1" applyAlignment="1">
      <alignment vertical="center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164" fontId="0" fillId="0" borderId="22" xfId="42" applyNumberFormat="1" applyFont="1" applyBorder="1" applyAlignment="1">
      <alignment horizontal="right"/>
    </xf>
    <xf numFmtId="164" fontId="0" fillId="0" borderId="17" xfId="42" applyNumberFormat="1" applyFont="1" applyBorder="1" applyAlignment="1" quotePrefix="1">
      <alignment horizontal="right"/>
    </xf>
    <xf numFmtId="164" fontId="0" fillId="0" borderId="22" xfId="42" applyNumberFormat="1" applyFont="1" applyBorder="1" applyAlignment="1">
      <alignment/>
    </xf>
    <xf numFmtId="0" fontId="47" fillId="0" borderId="0" xfId="0" applyFont="1" applyAlignment="1" quotePrefix="1">
      <alignment horizontal="left"/>
    </xf>
    <xf numFmtId="165" fontId="0" fillId="0" borderId="0" xfId="57" applyNumberFormat="1" applyFont="1" applyAlignment="1">
      <alignment/>
    </xf>
    <xf numFmtId="0" fontId="47" fillId="34" borderId="0" xfId="0" applyFont="1" applyFill="1" applyAlignment="1">
      <alignment horizontal="left"/>
    </xf>
    <xf numFmtId="164" fontId="0" fillId="34" borderId="0" xfId="42" applyNumberFormat="1" applyFont="1" applyFill="1" applyAlignment="1">
      <alignment/>
    </xf>
    <xf numFmtId="164" fontId="0" fillId="34" borderId="22" xfId="42" applyNumberFormat="1" applyFont="1" applyFill="1" applyBorder="1" applyAlignment="1">
      <alignment/>
    </xf>
    <xf numFmtId="164" fontId="0" fillId="34" borderId="0" xfId="42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0" fontId="4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23" xfId="0" applyBorder="1" applyAlignment="1">
      <alignment/>
    </xf>
    <xf numFmtId="164" fontId="0" fillId="0" borderId="23" xfId="42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22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34" borderId="22" xfId="42" applyNumberFormat="1" applyFont="1" applyFill="1" applyBorder="1" applyAlignment="1">
      <alignment/>
    </xf>
    <xf numFmtId="168" fontId="0" fillId="34" borderId="0" xfId="42" applyNumberFormat="1" applyFont="1" applyFill="1" applyBorder="1" applyAlignment="1">
      <alignment/>
    </xf>
    <xf numFmtId="168" fontId="0" fillId="0" borderId="12" xfId="42" applyNumberFormat="1" applyFont="1" applyBorder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3" fontId="0" fillId="34" borderId="22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Alignment="1">
      <alignment/>
    </xf>
    <xf numFmtId="9" fontId="0" fillId="0" borderId="0" xfId="57" applyFont="1" applyAlignment="1">
      <alignment/>
    </xf>
    <xf numFmtId="164" fontId="45" fillId="0" borderId="0" xfId="42" applyNumberFormat="1" applyFont="1" applyAlignment="1" quotePrefix="1">
      <alignment vertical="center"/>
    </xf>
    <xf numFmtId="164" fontId="0" fillId="0" borderId="10" xfId="42" applyNumberFormat="1" applyFont="1" applyBorder="1" applyAlignment="1" quotePrefix="1">
      <alignment vertical="center"/>
    </xf>
    <xf numFmtId="164" fontId="0" fillId="0" borderId="16" xfId="42" applyNumberFormat="1" applyFont="1" applyBorder="1" applyAlignment="1" quotePrefix="1">
      <alignment vertical="top" wrapText="1"/>
    </xf>
    <xf numFmtId="164" fontId="0" fillId="0" borderId="0" xfId="42" applyNumberFormat="1" applyFont="1" applyBorder="1" applyAlignment="1">
      <alignment wrapText="1"/>
    </xf>
    <xf numFmtId="164" fontId="0" fillId="0" borderId="0" xfId="42" applyNumberFormat="1" applyFont="1" applyBorder="1" applyAlignment="1">
      <alignment horizontal="right" wrapText="1"/>
    </xf>
    <xf numFmtId="164" fontId="0" fillId="0" borderId="25" xfId="42" applyNumberFormat="1" applyFont="1" applyBorder="1" applyAlignment="1">
      <alignment horizontal="right"/>
    </xf>
    <xf numFmtId="164" fontId="0" fillId="0" borderId="22" xfId="42" applyNumberFormat="1" applyFont="1" applyBorder="1" applyAlignment="1">
      <alignment/>
    </xf>
    <xf numFmtId="164" fontId="48" fillId="0" borderId="0" xfId="42" applyNumberFormat="1" applyFont="1" applyBorder="1" applyAlignment="1">
      <alignment vertical="center"/>
    </xf>
    <xf numFmtId="164" fontId="0" fillId="0" borderId="18" xfId="42" applyNumberFormat="1" applyFont="1" applyBorder="1" applyAlignment="1">
      <alignment vertical="top"/>
    </xf>
    <xf numFmtId="164" fontId="0" fillId="0" borderId="10" xfId="42" applyNumberFormat="1" applyFont="1" applyBorder="1" applyAlignment="1">
      <alignment vertical="top"/>
    </xf>
    <xf numFmtId="164" fontId="0" fillId="0" borderId="26" xfId="42" applyNumberFormat="1" applyFont="1" applyBorder="1" applyAlignment="1">
      <alignment vertical="top"/>
    </xf>
    <xf numFmtId="164" fontId="0" fillId="0" borderId="18" xfId="42" applyNumberFormat="1" applyFont="1" applyBorder="1" applyAlignment="1" quotePrefix="1">
      <alignment vertical="top" wrapText="1"/>
    </xf>
    <xf numFmtId="164" fontId="0" fillId="0" borderId="0" xfId="42" applyNumberFormat="1" applyFont="1" applyBorder="1" applyAlignment="1">
      <alignment horizontal="right" vertical="top" wrapText="1"/>
    </xf>
    <xf numFmtId="164" fontId="0" fillId="0" borderId="22" xfId="42" applyNumberFormat="1" applyFont="1" applyBorder="1" applyAlignment="1">
      <alignment vertical="top"/>
    </xf>
    <xf numFmtId="164" fontId="0" fillId="0" borderId="0" xfId="42" applyNumberFormat="1" applyFont="1" applyBorder="1" applyAlignment="1">
      <alignment vertical="top"/>
    </xf>
    <xf numFmtId="164" fontId="0" fillId="0" borderId="25" xfId="42" applyNumberFormat="1" applyFont="1" applyBorder="1" applyAlignment="1">
      <alignment vertical="top"/>
    </xf>
    <xf numFmtId="164" fontId="0" fillId="0" borderId="22" xfId="42" applyNumberFormat="1" applyFont="1" applyBorder="1" applyAlignment="1" quotePrefix="1">
      <alignment vertical="top" wrapText="1"/>
    </xf>
    <xf numFmtId="164" fontId="0" fillId="0" borderId="12" xfId="42" applyNumberFormat="1" applyFont="1" applyBorder="1" applyAlignment="1">
      <alignment vertical="top" wrapText="1"/>
    </xf>
    <xf numFmtId="164" fontId="0" fillId="0" borderId="12" xfId="42" applyNumberFormat="1" applyFont="1" applyBorder="1" applyAlignment="1">
      <alignment horizontal="right" vertical="top" wrapText="1"/>
    </xf>
    <xf numFmtId="164" fontId="0" fillId="0" borderId="27" xfId="42" applyNumberFormat="1" applyFont="1" applyBorder="1" applyAlignment="1">
      <alignment vertical="top"/>
    </xf>
    <xf numFmtId="164" fontId="0" fillId="0" borderId="12" xfId="42" applyNumberFormat="1" applyFont="1" applyBorder="1" applyAlignment="1">
      <alignment vertical="top"/>
    </xf>
    <xf numFmtId="164" fontId="0" fillId="0" borderId="28" xfId="42" applyNumberFormat="1" applyFont="1" applyBorder="1" applyAlignment="1">
      <alignment vertical="top"/>
    </xf>
    <xf numFmtId="164" fontId="0" fillId="0" borderId="27" xfId="42" applyNumberFormat="1" applyFont="1" applyBorder="1" applyAlignment="1" quotePrefix="1">
      <alignment vertical="top" wrapText="1"/>
    </xf>
    <xf numFmtId="164" fontId="0" fillId="0" borderId="0" xfId="42" applyNumberFormat="1" applyFont="1" applyAlignment="1">
      <alignment vertical="center"/>
    </xf>
    <xf numFmtId="166" fontId="0" fillId="0" borderId="12" xfId="57" applyNumberFormat="1" applyFont="1" applyBorder="1" applyAlignment="1">
      <alignment vertical="center"/>
    </xf>
    <xf numFmtId="166" fontId="0" fillId="0" borderId="12" xfId="57" applyNumberFormat="1" applyFont="1" applyBorder="1" applyAlignment="1">
      <alignment vertical="center"/>
    </xf>
    <xf numFmtId="166" fontId="0" fillId="0" borderId="0" xfId="57" applyNumberFormat="1" applyFont="1" applyBorder="1" applyAlignment="1">
      <alignment vertical="center"/>
    </xf>
    <xf numFmtId="166" fontId="0" fillId="0" borderId="0" xfId="57" applyNumberFormat="1" applyFont="1" applyBorder="1" applyAlignment="1">
      <alignment vertical="center"/>
    </xf>
    <xf numFmtId="164" fontId="0" fillId="0" borderId="12" xfId="42" applyNumberFormat="1" applyFont="1" applyBorder="1" applyAlignment="1" quotePrefix="1">
      <alignment vertical="center"/>
    </xf>
    <xf numFmtId="0" fontId="0" fillId="0" borderId="12" xfId="0" applyBorder="1" applyAlignment="1">
      <alignment/>
    </xf>
    <xf numFmtId="0" fontId="43" fillId="0" borderId="0" xfId="0" applyFont="1" applyAlignment="1" quotePrefix="1">
      <alignment/>
    </xf>
    <xf numFmtId="0" fontId="0" fillId="0" borderId="0" xfId="0" applyAlignment="1">
      <alignment horizontal="right"/>
    </xf>
    <xf numFmtId="164" fontId="0" fillId="0" borderId="18" xfId="42" applyNumberFormat="1" applyFont="1" applyBorder="1" applyAlignment="1">
      <alignment horizontal="right"/>
    </xf>
    <xf numFmtId="164" fontId="0" fillId="0" borderId="17" xfId="42" applyNumberFormat="1" applyFont="1" applyBorder="1" applyAlignment="1">
      <alignment/>
    </xf>
    <xf numFmtId="10" fontId="0" fillId="0" borderId="17" xfId="57" applyNumberFormat="1" applyFont="1" applyBorder="1" applyAlignment="1">
      <alignment/>
    </xf>
    <xf numFmtId="43" fontId="0" fillId="0" borderId="0" xfId="42" applyFont="1" applyAlignment="1">
      <alignment/>
    </xf>
    <xf numFmtId="164" fontId="0" fillId="0" borderId="27" xfId="42" applyNumberFormat="1" applyFont="1" applyBorder="1" applyAlignment="1">
      <alignment/>
    </xf>
    <xf numFmtId="164" fontId="43" fillId="0" borderId="10" xfId="42" applyNumberFormat="1" applyFont="1" applyBorder="1" applyAlignment="1">
      <alignment horizontal="right"/>
    </xf>
    <xf numFmtId="9" fontId="0" fillId="0" borderId="11" xfId="57" applyFont="1" applyBorder="1" applyAlignment="1">
      <alignment/>
    </xf>
    <xf numFmtId="164" fontId="43" fillId="0" borderId="18" xfId="42" applyNumberFormat="1" applyFont="1" applyBorder="1" applyAlignment="1">
      <alignment horizontal="right"/>
    </xf>
    <xf numFmtId="164" fontId="49" fillId="0" borderId="22" xfId="42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164" fontId="49" fillId="0" borderId="22" xfId="42" applyNumberFormat="1" applyFont="1" applyBorder="1" applyAlignment="1">
      <alignment/>
    </xf>
    <xf numFmtId="164" fontId="43" fillId="0" borderId="18" xfId="42" applyNumberFormat="1" applyFont="1" applyBorder="1" applyAlignment="1">
      <alignment horizontal="center" vertical="top"/>
    </xf>
    <xf numFmtId="164" fontId="43" fillId="0" borderId="10" xfId="42" applyNumberFormat="1" applyFont="1" applyBorder="1" applyAlignment="1">
      <alignment horizontal="center" vertical="top"/>
    </xf>
    <xf numFmtId="0" fontId="43" fillId="0" borderId="0" xfId="0" applyFont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64" fontId="0" fillId="0" borderId="18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64" fontId="43" fillId="0" borderId="10" xfId="42" applyNumberFormat="1" applyFont="1" applyBorder="1" applyAlignment="1">
      <alignment horizontal="center"/>
    </xf>
    <xf numFmtId="164" fontId="43" fillId="0" borderId="18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ii\Local%20Settings\Temporary%20Internet%20Files\Content.Outlook\K8D3K5A9\Prior%20versions\FFY%202009%20stimulus%20impact%20-%20rough%20estim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ate-by-State"/>
      <sheetName val="COLA"/>
      <sheetName val="CSAVR"/>
    </sheetNames>
    <sheetDataSet>
      <sheetData sheetId="1">
        <row r="18">
          <cell r="A18" t="str">
            <v>Vocational Rehabilitation State Grants</v>
          </cell>
        </row>
        <row r="21">
          <cell r="A21" t="str">
            <v>Supported Employment State Grants</v>
          </cell>
        </row>
        <row r="22">
          <cell r="A22" t="str">
            <v>Independent Living State Grants</v>
          </cell>
        </row>
        <row r="23">
          <cell r="A23" t="str">
            <v>Services for Older Blind Individuals</v>
          </cell>
        </row>
        <row r="80">
          <cell r="A80" t="str">
            <v>Vocational Rehabilitation State Grants</v>
          </cell>
        </row>
        <row r="83">
          <cell r="A83" t="str">
            <v>Supported Employment State Grants</v>
          </cell>
        </row>
        <row r="84">
          <cell r="A84" t="str">
            <v>Independent Living State Grants</v>
          </cell>
        </row>
        <row r="85">
          <cell r="A85" t="str">
            <v>Services for Older Blind Individuals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0" zoomScaleNormal="70" zoomScalePageLayoutView="0" workbookViewId="0" topLeftCell="A1">
      <pane ySplit="4" topLeftCell="A22" activePane="bottomLeft" state="frozen"/>
      <selection pane="topLeft" activeCell="P1" sqref="P1"/>
      <selection pane="bottomLeft" activeCell="D36" sqref="D36"/>
    </sheetView>
  </sheetViews>
  <sheetFormatPr defaultColWidth="8.88671875" defaultRowHeight="15"/>
  <cols>
    <col min="1" max="1" width="14.88671875" style="11" customWidth="1"/>
    <col min="2" max="2" width="13.3359375" style="11" customWidth="1"/>
    <col min="3" max="3" width="16.21484375" style="11" customWidth="1"/>
    <col min="4" max="4" width="11.6640625" style="2" customWidth="1"/>
    <col min="5" max="9" width="12.77734375" style="2" customWidth="1"/>
    <col min="10" max="10" width="12.3359375" style="2" customWidth="1"/>
    <col min="11" max="11" width="12.21484375" style="2" customWidth="1"/>
    <col min="12" max="12" width="10.10546875" style="2" customWidth="1"/>
    <col min="13" max="13" width="19.5546875" style="1" customWidth="1"/>
    <col min="14" max="14" width="8.88671875" style="1" customWidth="1"/>
    <col min="15" max="15" width="9.99609375" style="1" bestFit="1" customWidth="1"/>
    <col min="16" max="16384" width="8.88671875" style="1" customWidth="1"/>
  </cols>
  <sheetData>
    <row r="1" spans="1:13" ht="15.75">
      <c r="A1" s="182" t="s">
        <v>454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0" ht="15.75">
      <c r="A2" s="91"/>
      <c r="B2" s="13"/>
      <c r="D2" s="49"/>
      <c r="G2" s="49"/>
      <c r="J2" s="49"/>
    </row>
    <row r="3" spans="1:13" ht="15.75">
      <c r="A3" s="14"/>
      <c r="B3" s="14"/>
      <c r="C3" s="30"/>
      <c r="D3" s="180" t="s">
        <v>141</v>
      </c>
      <c r="E3" s="181"/>
      <c r="F3" s="181"/>
      <c r="G3" s="180" t="s">
        <v>142</v>
      </c>
      <c r="H3" s="181"/>
      <c r="I3" s="181"/>
      <c r="J3" s="180" t="s">
        <v>154</v>
      </c>
      <c r="K3" s="181"/>
      <c r="L3" s="181"/>
      <c r="M3" s="34"/>
    </row>
    <row r="4" spans="1:13" ht="30.75" thickBot="1">
      <c r="A4" s="31" t="s">
        <v>16</v>
      </c>
      <c r="B4" s="33" t="s">
        <v>139</v>
      </c>
      <c r="C4" s="33" t="s">
        <v>140</v>
      </c>
      <c r="D4" s="32" t="s">
        <v>1</v>
      </c>
      <c r="E4" s="9" t="s">
        <v>10</v>
      </c>
      <c r="F4" s="9" t="s">
        <v>0</v>
      </c>
      <c r="G4" s="32" t="s">
        <v>1</v>
      </c>
      <c r="H4" s="9" t="s">
        <v>10</v>
      </c>
      <c r="I4" s="9" t="s">
        <v>0</v>
      </c>
      <c r="J4" s="32" t="s">
        <v>1</v>
      </c>
      <c r="K4" s="9" t="s">
        <v>10</v>
      </c>
      <c r="L4" s="39" t="s">
        <v>0</v>
      </c>
      <c r="M4" s="35" t="s">
        <v>18</v>
      </c>
    </row>
    <row r="5" spans="1:13" ht="15">
      <c r="A5" s="140"/>
      <c r="B5" s="141"/>
      <c r="C5" s="141"/>
      <c r="D5" s="101"/>
      <c r="E5" s="25"/>
      <c r="F5" s="25"/>
      <c r="G5" s="101"/>
      <c r="H5" s="25"/>
      <c r="I5" s="25"/>
      <c r="J5" s="101"/>
      <c r="K5" s="25"/>
      <c r="L5" s="142"/>
      <c r="M5" s="143"/>
    </row>
    <row r="6" spans="1:13" ht="18.75">
      <c r="A6" s="144" t="s">
        <v>429</v>
      </c>
      <c r="B6" s="141"/>
      <c r="C6" s="141"/>
      <c r="D6" s="101"/>
      <c r="E6" s="25"/>
      <c r="F6" s="25"/>
      <c r="G6" s="101"/>
      <c r="H6" s="25"/>
      <c r="I6" s="25"/>
      <c r="J6" s="101"/>
      <c r="K6" s="25"/>
      <c r="L6" s="142"/>
      <c r="M6" s="143"/>
    </row>
    <row r="7" spans="1:13" ht="79.5" customHeight="1">
      <c r="A7" s="23" t="s">
        <v>495</v>
      </c>
      <c r="B7" s="23">
        <v>0</v>
      </c>
      <c r="C7" s="82" t="s">
        <v>243</v>
      </c>
      <c r="D7" s="28">
        <f>-E7</f>
        <v>-1915014</v>
      </c>
      <c r="E7" s="24">
        <f>+'FC AS FMAP'!D19</f>
        <v>1915014</v>
      </c>
      <c r="F7" s="24">
        <f>SUM(D7:E7)</f>
        <v>0</v>
      </c>
      <c r="G7" s="28">
        <f>-H7</f>
        <v>-2675348</v>
      </c>
      <c r="H7" s="24">
        <f>+'FC AS FMAP'!D20</f>
        <v>2675348</v>
      </c>
      <c r="I7" s="24">
        <f>SUM(G7:H7)</f>
        <v>0</v>
      </c>
      <c r="J7" s="28">
        <v>0</v>
      </c>
      <c r="K7" s="24">
        <v>0</v>
      </c>
      <c r="L7" s="41">
        <v>0</v>
      </c>
      <c r="M7" s="26"/>
    </row>
    <row r="8" spans="1:13" ht="83.25" customHeight="1">
      <c r="A8" s="23" t="s">
        <v>428</v>
      </c>
      <c r="B8" s="82" t="s">
        <v>243</v>
      </c>
      <c r="C8" s="82" t="s">
        <v>243</v>
      </c>
      <c r="D8" s="28">
        <f>-E8</f>
        <v>-33957299</v>
      </c>
      <c r="E8" s="24">
        <v>33957299</v>
      </c>
      <c r="F8" s="24">
        <f>SUM(D8:E8)</f>
        <v>0</v>
      </c>
      <c r="G8" s="28">
        <f>-H8</f>
        <v>-59568100</v>
      </c>
      <c r="H8" s="24">
        <v>59568100</v>
      </c>
      <c r="I8" s="24">
        <f>SUM(G8:H8)</f>
        <v>0</v>
      </c>
      <c r="J8" s="28">
        <f>-K8</f>
        <v>-34918598</v>
      </c>
      <c r="K8" s="24">
        <v>34918598</v>
      </c>
      <c r="L8" s="41">
        <f>SUM(J8:K8)</f>
        <v>0</v>
      </c>
      <c r="M8" s="92" t="s">
        <v>489</v>
      </c>
    </row>
    <row r="9" spans="1:13" ht="79.5" customHeight="1">
      <c r="A9" s="23" t="s">
        <v>427</v>
      </c>
      <c r="B9" s="82" t="s">
        <v>243</v>
      </c>
      <c r="C9" s="82" t="s">
        <v>243</v>
      </c>
      <c r="D9" s="28">
        <f>-E9</f>
        <v>-250027</v>
      </c>
      <c r="E9" s="24">
        <v>250027</v>
      </c>
      <c r="F9" s="24">
        <f>SUM(D9:E9)</f>
        <v>0</v>
      </c>
      <c r="G9" s="28">
        <f>-H9</f>
        <v>-377471</v>
      </c>
      <c r="H9" s="24">
        <v>377471</v>
      </c>
      <c r="I9" s="24">
        <f>SUM(G9:H9)</f>
        <v>0</v>
      </c>
      <c r="J9" s="28">
        <v>0</v>
      </c>
      <c r="K9" s="24">
        <v>0</v>
      </c>
      <c r="L9" s="41">
        <v>0</v>
      </c>
      <c r="M9" s="26" t="s">
        <v>488</v>
      </c>
    </row>
    <row r="10" spans="1:13" ht="16.5" customHeight="1">
      <c r="A10" s="14" t="s">
        <v>430</v>
      </c>
      <c r="B10" s="30"/>
      <c r="C10" s="30"/>
      <c r="D10" s="145">
        <f aca="true" t="shared" si="0" ref="D10:L10">SUM(D7:D9)</f>
        <v>-36122340</v>
      </c>
      <c r="E10" s="146">
        <f t="shared" si="0"/>
        <v>36122340</v>
      </c>
      <c r="F10" s="146">
        <f t="shared" si="0"/>
        <v>0</v>
      </c>
      <c r="G10" s="145">
        <f t="shared" si="0"/>
        <v>-62620919</v>
      </c>
      <c r="H10" s="146">
        <f t="shared" si="0"/>
        <v>62620919</v>
      </c>
      <c r="I10" s="146">
        <f t="shared" si="0"/>
        <v>0</v>
      </c>
      <c r="J10" s="145">
        <f t="shared" si="0"/>
        <v>-34918598</v>
      </c>
      <c r="K10" s="146">
        <f t="shared" si="0"/>
        <v>34918598</v>
      </c>
      <c r="L10" s="147">
        <f t="shared" si="0"/>
        <v>0</v>
      </c>
      <c r="M10" s="148"/>
    </row>
    <row r="11" spans="1:13" ht="16.5" customHeight="1">
      <c r="A11" s="37"/>
      <c r="B11" s="149"/>
      <c r="C11" s="149"/>
      <c r="D11" s="150"/>
      <c r="E11" s="151"/>
      <c r="F11" s="151"/>
      <c r="G11" s="150"/>
      <c r="H11" s="151"/>
      <c r="I11" s="151"/>
      <c r="J11" s="150"/>
      <c r="K11" s="151"/>
      <c r="L11" s="152"/>
      <c r="M11" s="153"/>
    </row>
    <row r="12" spans="1:13" ht="16.5" customHeight="1">
      <c r="A12" s="37"/>
      <c r="B12" s="149"/>
      <c r="C12" s="149"/>
      <c r="D12" s="150"/>
      <c r="E12" s="151"/>
      <c r="F12" s="151"/>
      <c r="G12" s="150"/>
      <c r="H12" s="151"/>
      <c r="I12" s="151"/>
      <c r="J12" s="150"/>
      <c r="K12" s="151"/>
      <c r="L12" s="152"/>
      <c r="M12" s="153"/>
    </row>
    <row r="13" spans="1:13" ht="16.5" customHeight="1">
      <c r="A13" s="37"/>
      <c r="B13" s="149"/>
      <c r="C13" s="149"/>
      <c r="D13" s="150"/>
      <c r="E13" s="151"/>
      <c r="F13" s="151"/>
      <c r="G13" s="150"/>
      <c r="H13" s="151"/>
      <c r="I13" s="151"/>
      <c r="J13" s="150"/>
      <c r="K13" s="151"/>
      <c r="L13" s="152"/>
      <c r="M13" s="153"/>
    </row>
    <row r="14" spans="1:13" ht="16.5" customHeight="1">
      <c r="A14" s="144" t="s">
        <v>431</v>
      </c>
      <c r="B14" s="149"/>
      <c r="C14" s="149"/>
      <c r="D14" s="150"/>
      <c r="E14" s="151"/>
      <c r="F14" s="151"/>
      <c r="G14" s="150"/>
      <c r="H14" s="151"/>
      <c r="I14" s="151"/>
      <c r="J14" s="150"/>
      <c r="K14" s="151"/>
      <c r="L14" s="152"/>
      <c r="M14" s="153"/>
    </row>
    <row r="15" spans="1:13" ht="130.5" customHeight="1">
      <c r="A15" s="86" t="s">
        <v>242</v>
      </c>
      <c r="B15" s="20">
        <v>5000000000</v>
      </c>
      <c r="C15" s="38">
        <v>0</v>
      </c>
      <c r="D15" s="27">
        <v>0</v>
      </c>
      <c r="E15" s="22">
        <f>+TANF!J14</f>
        <v>0</v>
      </c>
      <c r="F15" s="22">
        <f>SUM(D15:E15)</f>
        <v>0</v>
      </c>
      <c r="G15" s="27">
        <v>0</v>
      </c>
      <c r="H15" s="22">
        <f>+TANF!K14</f>
        <v>3260000</v>
      </c>
      <c r="I15" s="22">
        <f>SUM(G15:H15)</f>
        <v>3260000</v>
      </c>
      <c r="J15" s="27"/>
      <c r="K15" s="22">
        <f>+TANF!L14</f>
        <v>1860000</v>
      </c>
      <c r="L15" s="40">
        <f>SUM(J15:K15)</f>
        <v>1860000</v>
      </c>
      <c r="M15" s="36" t="s">
        <v>435</v>
      </c>
    </row>
    <row r="16" spans="1:13" ht="68.25" customHeight="1">
      <c r="A16" s="20" t="s">
        <v>419</v>
      </c>
      <c r="B16" s="20">
        <f>+'FA Adm Funds'!C5</f>
        <v>150000000</v>
      </c>
      <c r="C16" s="21">
        <f>+'FA Adm Funds'!D5</f>
        <v>150000000</v>
      </c>
      <c r="D16" s="27">
        <v>0</v>
      </c>
      <c r="E16" s="22">
        <f>+'FA Adm Funds'!C20</f>
        <v>648550.1679364212</v>
      </c>
      <c r="F16" s="22">
        <f>SUM(D16:E16)</f>
        <v>648550.1679364212</v>
      </c>
      <c r="G16" s="27">
        <v>0</v>
      </c>
      <c r="H16" s="22">
        <f>+'FA Adm Funds'!D20</f>
        <v>864733.5572485616</v>
      </c>
      <c r="I16" s="22">
        <f>SUM(G16:H16)</f>
        <v>864733.5572485616</v>
      </c>
      <c r="J16" s="27">
        <v>0</v>
      </c>
      <c r="K16" s="22">
        <f>+'FA Adm Funds'!E20</f>
        <v>216183.3893121404</v>
      </c>
      <c r="L16" s="40">
        <f>SUM(J16:K16)</f>
        <v>216183.3893121404</v>
      </c>
      <c r="M16" s="139" t="s">
        <v>417</v>
      </c>
    </row>
    <row r="17" spans="1:13" ht="86.25" customHeight="1">
      <c r="A17" s="23" t="s">
        <v>420</v>
      </c>
      <c r="B17" s="82" t="s">
        <v>418</v>
      </c>
      <c r="C17" s="38" t="s">
        <v>243</v>
      </c>
      <c r="D17" s="28">
        <v>0</v>
      </c>
      <c r="E17" s="24">
        <f>+'FA Ben Incr'!F15</f>
        <v>12583511.605951102</v>
      </c>
      <c r="F17" s="24">
        <f aca="true" t="shared" si="1" ref="F17:F25">SUM(D17:E17)</f>
        <v>12583511.605951102</v>
      </c>
      <c r="G17" s="28">
        <v>0</v>
      </c>
      <c r="H17" s="24">
        <f>+'FA Ben Incr'!F16</f>
        <v>53850835.693589866</v>
      </c>
      <c r="I17" s="24">
        <f aca="true" t="shared" si="2" ref="I17:I25">SUM(G17:H17)</f>
        <v>53850835.693589866</v>
      </c>
      <c r="J17" s="28">
        <v>0</v>
      </c>
      <c r="K17" s="24">
        <v>0</v>
      </c>
      <c r="L17" s="41">
        <f aca="true" t="shared" si="3" ref="L17:L25">SUM(J17:K17)</f>
        <v>0</v>
      </c>
      <c r="M17" s="26"/>
    </row>
    <row r="18" spans="1:13" ht="85.5" customHeight="1">
      <c r="A18" s="23" t="s">
        <v>421</v>
      </c>
      <c r="B18" s="82" t="s">
        <v>243</v>
      </c>
      <c r="C18" s="38" t="s">
        <v>243</v>
      </c>
      <c r="D18" s="28">
        <v>0</v>
      </c>
      <c r="E18" s="24">
        <f>+'FA ABAWDs'!C11</f>
        <v>507425.49812500004</v>
      </c>
      <c r="F18" s="24">
        <f t="shared" si="1"/>
        <v>507425.49812500004</v>
      </c>
      <c r="G18" s="28">
        <v>0</v>
      </c>
      <c r="H18" s="24">
        <f>+'FA ABAWDs'!D11</f>
        <v>7167873.887416667</v>
      </c>
      <c r="I18" s="24">
        <f t="shared" si="2"/>
        <v>7167873.887416667</v>
      </c>
      <c r="J18" s="28">
        <v>0</v>
      </c>
      <c r="K18" s="24">
        <f>+'FA ABAWDs'!E11</f>
        <v>2154135.9839999997</v>
      </c>
      <c r="L18" s="41">
        <f t="shared" si="3"/>
        <v>2154135.9839999997</v>
      </c>
      <c r="M18" s="26"/>
    </row>
    <row r="19" spans="1:13" ht="89.25" customHeight="1">
      <c r="A19" s="23" t="s">
        <v>425</v>
      </c>
      <c r="B19" s="82">
        <v>150000000</v>
      </c>
      <c r="C19" s="38">
        <v>150000000</v>
      </c>
      <c r="D19" s="28">
        <v>0</v>
      </c>
      <c r="E19" s="24">
        <f>904000+225000</f>
        <v>1129000</v>
      </c>
      <c r="F19" s="24">
        <f t="shared" si="1"/>
        <v>1129000</v>
      </c>
      <c r="G19" s="28">
        <v>0</v>
      </c>
      <c r="H19" s="24">
        <v>225000</v>
      </c>
      <c r="I19" s="24">
        <f t="shared" si="2"/>
        <v>225000</v>
      </c>
      <c r="J19" s="28">
        <v>0</v>
      </c>
      <c r="K19" s="24">
        <v>0</v>
      </c>
      <c r="L19" s="41">
        <f t="shared" si="3"/>
        <v>0</v>
      </c>
      <c r="M19" s="92" t="s">
        <v>496</v>
      </c>
    </row>
    <row r="20" spans="1:13" ht="150.75" customHeight="1">
      <c r="A20" s="20" t="s">
        <v>67</v>
      </c>
      <c r="B20" s="38">
        <v>500000000</v>
      </c>
      <c r="C20" s="38">
        <v>500000000</v>
      </c>
      <c r="D20" s="27">
        <v>-1684649.25</v>
      </c>
      <c r="E20" s="22">
        <v>1684649.25</v>
      </c>
      <c r="F20" s="22">
        <f>SUM(D20:E20)</f>
        <v>0</v>
      </c>
      <c r="G20" s="27">
        <v>-2246199</v>
      </c>
      <c r="H20" s="22">
        <v>2246199</v>
      </c>
      <c r="I20" s="22">
        <f>SUM(G20:H20)</f>
        <v>0</v>
      </c>
      <c r="J20" s="27">
        <v>-561549.75</v>
      </c>
      <c r="K20" s="22">
        <v>561549.75</v>
      </c>
      <c r="L20" s="40">
        <f>SUM(J20:K20)</f>
        <v>0</v>
      </c>
      <c r="M20" s="139" t="s">
        <v>406</v>
      </c>
    </row>
    <row r="21" spans="1:13" ht="135">
      <c r="A21" s="23" t="s">
        <v>503</v>
      </c>
      <c r="B21" s="23">
        <v>2000000000</v>
      </c>
      <c r="C21" s="23">
        <v>0</v>
      </c>
      <c r="D21" s="28">
        <v>0</v>
      </c>
      <c r="E21" s="24">
        <f>+'Child Care'!D15</f>
        <v>18463000</v>
      </c>
      <c r="F21" s="24">
        <f t="shared" si="1"/>
        <v>18463000</v>
      </c>
      <c r="G21" s="28">
        <v>0</v>
      </c>
      <c r="H21" s="24">
        <v>0</v>
      </c>
      <c r="I21" s="24">
        <f t="shared" si="2"/>
        <v>0</v>
      </c>
      <c r="J21" s="28">
        <v>0</v>
      </c>
      <c r="K21" s="24">
        <v>0</v>
      </c>
      <c r="L21" s="41">
        <f t="shared" si="3"/>
        <v>0</v>
      </c>
      <c r="M21" s="26" t="s">
        <v>504</v>
      </c>
    </row>
    <row r="22" spans="1:13" ht="30">
      <c r="A22" s="23" t="s">
        <v>68</v>
      </c>
      <c r="B22" s="23">
        <v>0</v>
      </c>
      <c r="C22" s="23">
        <f>+VR!C5</f>
        <v>540000000</v>
      </c>
      <c r="D22" s="28">
        <v>0</v>
      </c>
      <c r="E22" s="24">
        <v>0</v>
      </c>
      <c r="F22" s="24">
        <f t="shared" si="1"/>
        <v>0</v>
      </c>
      <c r="G22" s="28">
        <v>0</v>
      </c>
      <c r="H22" s="24">
        <f>+VR!C23</f>
        <v>2554377</v>
      </c>
      <c r="I22" s="24">
        <f t="shared" si="2"/>
        <v>2554377</v>
      </c>
      <c r="J22" s="28">
        <v>0</v>
      </c>
      <c r="K22" s="24">
        <f>+VR!D23</f>
        <v>2554376</v>
      </c>
      <c r="L22" s="41">
        <f t="shared" si="3"/>
        <v>2554376</v>
      </c>
      <c r="M22" s="26"/>
    </row>
    <row r="23" spans="1:13" ht="76.5" customHeight="1">
      <c r="A23" s="23" t="s">
        <v>64</v>
      </c>
      <c r="B23" s="23">
        <v>0</v>
      </c>
      <c r="C23" s="23">
        <f>+VR!C7</f>
        <v>18200000</v>
      </c>
      <c r="D23" s="28">
        <v>0</v>
      </c>
      <c r="E23" s="24">
        <v>0</v>
      </c>
      <c r="F23" s="24">
        <f t="shared" si="1"/>
        <v>0</v>
      </c>
      <c r="G23" s="28">
        <v>0</v>
      </c>
      <c r="H23" s="24">
        <f>+VR!C25</f>
        <v>121457</v>
      </c>
      <c r="I23" s="24">
        <f t="shared" si="2"/>
        <v>121457</v>
      </c>
      <c r="J23" s="28">
        <v>0</v>
      </c>
      <c r="K23" s="24">
        <f>+VR!D25</f>
        <v>121456</v>
      </c>
      <c r="L23" s="41">
        <f t="shared" si="3"/>
        <v>121456</v>
      </c>
      <c r="M23" s="26"/>
    </row>
    <row r="24" spans="1:13" ht="84" customHeight="1">
      <c r="A24" s="23" t="s">
        <v>65</v>
      </c>
      <c r="B24" s="23">
        <v>0</v>
      </c>
      <c r="C24" s="23">
        <f>+VR!C9</f>
        <v>87500000</v>
      </c>
      <c r="D24" s="28">
        <v>0</v>
      </c>
      <c r="E24" s="24">
        <v>0</v>
      </c>
      <c r="F24" s="24">
        <f t="shared" si="1"/>
        <v>0</v>
      </c>
      <c r="G24" s="28">
        <v>0</v>
      </c>
      <c r="H24" s="24">
        <f>+VR!C27</f>
        <v>466907</v>
      </c>
      <c r="I24" s="24">
        <f t="shared" si="2"/>
        <v>466907</v>
      </c>
      <c r="J24" s="28">
        <v>0</v>
      </c>
      <c r="K24" s="24">
        <f>+VR!D27</f>
        <v>466907</v>
      </c>
      <c r="L24" s="41">
        <f t="shared" si="3"/>
        <v>466907</v>
      </c>
      <c r="M24" s="26" t="s">
        <v>234</v>
      </c>
    </row>
    <row r="25" spans="1:13" ht="45">
      <c r="A25" s="23" t="s">
        <v>66</v>
      </c>
      <c r="B25" s="23">
        <v>0</v>
      </c>
      <c r="C25" s="23">
        <f>+VR!C8</f>
        <v>34300000</v>
      </c>
      <c r="D25" s="28">
        <v>0</v>
      </c>
      <c r="E25" s="24">
        <v>0</v>
      </c>
      <c r="F25" s="24">
        <f t="shared" si="1"/>
        <v>0</v>
      </c>
      <c r="G25" s="28">
        <v>0</v>
      </c>
      <c r="H25" s="24">
        <f>+VR!C26</f>
        <v>160684</v>
      </c>
      <c r="I25" s="24">
        <f t="shared" si="2"/>
        <v>160684</v>
      </c>
      <c r="J25" s="28">
        <v>0</v>
      </c>
      <c r="K25" s="24">
        <f>+VR!D26</f>
        <v>160684</v>
      </c>
      <c r="L25" s="41">
        <f t="shared" si="3"/>
        <v>160684</v>
      </c>
      <c r="M25" s="26"/>
    </row>
    <row r="26" spans="1:13" ht="15">
      <c r="A26" s="14" t="s">
        <v>430</v>
      </c>
      <c r="B26" s="30"/>
      <c r="C26" s="30"/>
      <c r="D26" s="145">
        <f aca="true" t="shared" si="4" ref="D26:L26">SUM(D15:D25)</f>
        <v>-1684649.25</v>
      </c>
      <c r="E26" s="146">
        <f t="shared" si="4"/>
        <v>35016136.522012524</v>
      </c>
      <c r="F26" s="146">
        <f t="shared" si="4"/>
        <v>33331487.272012524</v>
      </c>
      <c r="G26" s="145">
        <f t="shared" si="4"/>
        <v>-2246199</v>
      </c>
      <c r="H26" s="146">
        <f t="shared" si="4"/>
        <v>70918067.13825509</v>
      </c>
      <c r="I26" s="146">
        <f t="shared" si="4"/>
        <v>68671868.13825509</v>
      </c>
      <c r="J26" s="145">
        <f t="shared" si="4"/>
        <v>-561549.75</v>
      </c>
      <c r="K26" s="146">
        <f t="shared" si="4"/>
        <v>8095292.12331214</v>
      </c>
      <c r="L26" s="147">
        <f t="shared" si="4"/>
        <v>7533742.37331214</v>
      </c>
      <c r="M26" s="148"/>
    </row>
    <row r="27" spans="1:13" ht="15">
      <c r="A27" s="37"/>
      <c r="B27" s="149"/>
      <c r="C27" s="149"/>
      <c r="D27" s="150"/>
      <c r="E27" s="151"/>
      <c r="F27" s="151"/>
      <c r="G27" s="150"/>
      <c r="H27" s="151"/>
      <c r="I27" s="151"/>
      <c r="J27" s="150"/>
      <c r="K27" s="151"/>
      <c r="L27" s="152"/>
      <c r="M27" s="153"/>
    </row>
    <row r="28" spans="1:13" ht="15.75" thickBot="1">
      <c r="A28" s="154" t="s">
        <v>11</v>
      </c>
      <c r="B28" s="155"/>
      <c r="C28" s="155"/>
      <c r="D28" s="156">
        <f aca="true" t="shared" si="5" ref="D28:L28">+D10+D26</f>
        <v>-37806989.25</v>
      </c>
      <c r="E28" s="157">
        <f t="shared" si="5"/>
        <v>71138476.52201253</v>
      </c>
      <c r="F28" s="157">
        <f t="shared" si="5"/>
        <v>33331487.272012524</v>
      </c>
      <c r="G28" s="156">
        <f t="shared" si="5"/>
        <v>-64867118</v>
      </c>
      <c r="H28" s="157">
        <f t="shared" si="5"/>
        <v>133538986.13825509</v>
      </c>
      <c r="I28" s="157">
        <f t="shared" si="5"/>
        <v>68671868.13825509</v>
      </c>
      <c r="J28" s="156">
        <f t="shared" si="5"/>
        <v>-35480147.75</v>
      </c>
      <c r="K28" s="157">
        <f t="shared" si="5"/>
        <v>43013890.12331214</v>
      </c>
      <c r="L28" s="158">
        <f t="shared" si="5"/>
        <v>7533742.37331214</v>
      </c>
      <c r="M28" s="159"/>
    </row>
    <row r="29" spans="1:8" ht="15" customHeight="1">
      <c r="A29"/>
      <c r="B29"/>
      <c r="C29"/>
      <c r="D29"/>
      <c r="E29"/>
      <c r="F29"/>
      <c r="G29"/>
      <c r="H29"/>
    </row>
    <row r="30" spans="1:8" ht="15">
      <c r="A30"/>
      <c r="B30"/>
      <c r="C30" s="1"/>
      <c r="D30"/>
      <c r="E30"/>
      <c r="F30"/>
      <c r="G30"/>
      <c r="H30"/>
    </row>
    <row r="31" spans="1:8" ht="15">
      <c r="A31"/>
      <c r="B31"/>
      <c r="C31" s="1"/>
      <c r="D31"/>
      <c r="E31"/>
      <c r="F31" s="1"/>
      <c r="G31" s="1"/>
      <c r="H31"/>
    </row>
    <row r="32" spans="1:8" ht="15">
      <c r="A32"/>
      <c r="B32"/>
      <c r="C32" s="1"/>
      <c r="D32"/>
      <c r="E32"/>
      <c r="F32" s="1"/>
      <c r="G32" s="1"/>
      <c r="H32"/>
    </row>
    <row r="33" spans="1:8" ht="15">
      <c r="A33"/>
      <c r="B33"/>
      <c r="C33" s="1"/>
      <c r="D33"/>
      <c r="E33"/>
      <c r="F33"/>
      <c r="G33"/>
      <c r="H33"/>
    </row>
    <row r="34" spans="1:8" ht="15">
      <c r="A34"/>
      <c r="B34"/>
      <c r="C34" s="1"/>
      <c r="D34"/>
      <c r="E34"/>
      <c r="F34"/>
      <c r="G34"/>
      <c r="H34"/>
    </row>
    <row r="35" spans="1:8" ht="15">
      <c r="A35"/>
      <c r="B35"/>
      <c r="C35" s="1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</sheetData>
  <sheetProtection/>
  <mergeCells count="4">
    <mergeCell ref="D3:F3"/>
    <mergeCell ref="G3:I3"/>
    <mergeCell ref="J3:L3"/>
    <mergeCell ref="A1:M1"/>
  </mergeCells>
  <printOptions/>
  <pageMargins left="0.2" right="0.45" top="0.75" bottom="0.75" header="0.3" footer="0.3"/>
  <pageSetup fitToHeight="0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8.88671875" style="1" customWidth="1"/>
    <col min="2" max="2" width="12.4453125" style="1" customWidth="1"/>
    <col min="3" max="5" width="16.10546875" style="1" customWidth="1"/>
    <col min="6" max="6" width="12.4453125" style="1" customWidth="1"/>
    <col min="7" max="7" width="15.5546875" style="1" customWidth="1"/>
    <col min="8" max="8" width="6.6640625" style="1" customWidth="1"/>
    <col min="9" max="9" width="13.6640625" style="1" customWidth="1"/>
    <col min="10" max="16384" width="8.88671875" style="1" customWidth="1"/>
  </cols>
  <sheetData>
    <row r="1" ht="15.75">
      <c r="A1" s="4" t="s">
        <v>424</v>
      </c>
    </row>
    <row r="2" ht="15">
      <c r="A2" s="7"/>
    </row>
    <row r="3" ht="15">
      <c r="A3" s="1" t="s">
        <v>170</v>
      </c>
    </row>
    <row r="5" spans="1:5" ht="15">
      <c r="A5" s="5"/>
      <c r="B5" s="5"/>
      <c r="C5" s="12" t="s">
        <v>164</v>
      </c>
      <c r="D5" s="12" t="s">
        <v>166</v>
      </c>
      <c r="E5" s="5"/>
    </row>
    <row r="6" spans="1:5" ht="15.75" thickBot="1">
      <c r="A6" s="8" t="s">
        <v>131</v>
      </c>
      <c r="B6" s="8"/>
      <c r="C6" s="9" t="s">
        <v>165</v>
      </c>
      <c r="D6" s="42" t="s">
        <v>167</v>
      </c>
      <c r="E6" s="9" t="s">
        <v>7</v>
      </c>
    </row>
    <row r="7" spans="1:5" ht="15">
      <c r="A7" s="1" t="s">
        <v>21</v>
      </c>
      <c r="C7" s="1">
        <v>2000000000</v>
      </c>
      <c r="D7" s="1">
        <f>+C7+1000000000</f>
        <v>3000000000</v>
      </c>
      <c r="E7" s="1">
        <f>+D7-C7</f>
        <v>1000000000</v>
      </c>
    </row>
    <row r="8" spans="1:5" ht="15">
      <c r="A8" s="1" t="s">
        <v>162</v>
      </c>
      <c r="C8" s="1">
        <v>-27000000</v>
      </c>
      <c r="D8" s="1">
        <f>+C8</f>
        <v>-27000000</v>
      </c>
      <c r="E8" s="1">
        <f aca="true" t="shared" si="0" ref="E8:E17">+D8-C8</f>
        <v>0</v>
      </c>
    </row>
    <row r="9" spans="1:5" ht="15">
      <c r="A9" s="1" t="s">
        <v>163</v>
      </c>
      <c r="C9" s="1">
        <v>-300000</v>
      </c>
      <c r="D9" s="1">
        <f>+C9</f>
        <v>-300000</v>
      </c>
      <c r="E9" s="1">
        <f t="shared" si="0"/>
        <v>0</v>
      </c>
    </row>
    <row r="10" spans="1:5" ht="15">
      <c r="A10" s="1" t="s">
        <v>24</v>
      </c>
      <c r="C10" s="1">
        <v>-4933073</v>
      </c>
      <c r="D10" s="1">
        <f>+C10/C7*D7</f>
        <v>-7399609.499999999</v>
      </c>
      <c r="E10" s="1">
        <f t="shared" si="0"/>
        <v>-2466536.499999999</v>
      </c>
    </row>
    <row r="11" spans="1:5" ht="15">
      <c r="A11" s="5" t="s">
        <v>25</v>
      </c>
      <c r="B11" s="5"/>
      <c r="C11" s="5">
        <f>SUM(C7:C10)</f>
        <v>1967766927</v>
      </c>
      <c r="D11" s="5">
        <f>SUM(D7:D10)</f>
        <v>2965300390.5</v>
      </c>
      <c r="E11" s="5">
        <f t="shared" si="0"/>
        <v>997533463.5</v>
      </c>
    </row>
    <row r="12" spans="1:5" ht="15">
      <c r="A12" s="15"/>
      <c r="B12" s="15"/>
      <c r="C12" s="15"/>
      <c r="D12" s="15"/>
      <c r="E12" s="15"/>
    </row>
    <row r="13" spans="1:5" ht="15">
      <c r="A13" s="15" t="s">
        <v>13</v>
      </c>
      <c r="B13" s="15"/>
      <c r="C13" s="43">
        <v>0.008559919999999999</v>
      </c>
      <c r="D13" s="43">
        <v>0.008559919999999999</v>
      </c>
      <c r="E13" s="15"/>
    </row>
    <row r="14" spans="1:5" ht="15">
      <c r="A14" s="5" t="s">
        <v>12</v>
      </c>
      <c r="B14" s="19"/>
      <c r="C14" s="5">
        <f>+C11*C13</f>
        <v>16843927.47376584</v>
      </c>
      <c r="D14" s="5">
        <f>+D11*D13</f>
        <v>25382734.118648756</v>
      </c>
      <c r="E14" s="5">
        <f t="shared" si="0"/>
        <v>8538806.644882917</v>
      </c>
    </row>
    <row r="15" spans="1:5" ht="15">
      <c r="A15" s="15"/>
      <c r="B15" s="43"/>
      <c r="C15" s="15"/>
      <c r="D15" s="15"/>
      <c r="E15" s="15"/>
    </row>
    <row r="16" spans="1:5" ht="15">
      <c r="A16" s="1" t="s">
        <v>42</v>
      </c>
      <c r="C16" s="1">
        <v>-41770.473941585056</v>
      </c>
      <c r="D16" s="1">
        <f>+C16/C14*D14</f>
        <v>-62945.46421673456</v>
      </c>
      <c r="E16" s="1">
        <f t="shared" si="0"/>
        <v>-21174.990275149503</v>
      </c>
    </row>
    <row r="17" spans="1:5" ht="15">
      <c r="A17" s="5" t="s">
        <v>168</v>
      </c>
      <c r="B17" s="5"/>
      <c r="C17" s="5">
        <f>+C14+C16</f>
        <v>16802156.999824252</v>
      </c>
      <c r="D17" s="5">
        <f>+D14+D16</f>
        <v>25319788.65443202</v>
      </c>
      <c r="E17" s="5">
        <f t="shared" si="0"/>
        <v>8517631.65460777</v>
      </c>
    </row>
    <row r="19" spans="1:5" ht="15">
      <c r="A19" s="1" t="s">
        <v>169</v>
      </c>
      <c r="C19" s="1">
        <f>+C17*0.85</f>
        <v>14281833.449850613</v>
      </c>
      <c r="D19" s="1">
        <f>+D17*0.85</f>
        <v>21521820.356267218</v>
      </c>
      <c r="E19" s="1">
        <f>+D19-C19</f>
        <v>7239986.906416604</v>
      </c>
    </row>
    <row r="20" spans="1:5" ht="15">
      <c r="A20" s="1" t="s">
        <v>134</v>
      </c>
      <c r="C20" s="1">
        <f>+C17-C19</f>
        <v>2520323.5499736387</v>
      </c>
      <c r="D20" s="1">
        <f>+D17-D19</f>
        <v>3797968.2981648035</v>
      </c>
      <c r="E20" s="1">
        <f>+D20-C20</f>
        <v>1277644.7481911648</v>
      </c>
    </row>
    <row r="25" spans="1:9" ht="15.75">
      <c r="A25" s="18" t="s">
        <v>29</v>
      </c>
      <c r="B25" s="5"/>
      <c r="C25" s="5"/>
      <c r="D25" s="5"/>
      <c r="E25" s="5"/>
      <c r="F25" s="5"/>
      <c r="G25" s="5"/>
      <c r="H25" s="5"/>
      <c r="I25" s="5"/>
    </row>
    <row r="26" spans="1:9" ht="15">
      <c r="A26" s="15"/>
      <c r="B26" s="15"/>
      <c r="C26" s="25" t="s">
        <v>27</v>
      </c>
      <c r="D26" s="25" t="s">
        <v>27</v>
      </c>
      <c r="E26" s="25" t="s">
        <v>26</v>
      </c>
      <c r="F26" s="25" t="s">
        <v>26</v>
      </c>
      <c r="G26" s="15"/>
      <c r="H26" s="15"/>
      <c r="I26" s="15"/>
    </row>
    <row r="27" spans="1:9" ht="15.75" thickBot="1">
      <c r="A27" s="8"/>
      <c r="B27" s="8"/>
      <c r="C27" s="9" t="s">
        <v>19</v>
      </c>
      <c r="D27" s="9" t="s">
        <v>20</v>
      </c>
      <c r="E27" s="9" t="s">
        <v>19</v>
      </c>
      <c r="F27" s="9" t="s">
        <v>28</v>
      </c>
      <c r="G27" s="8"/>
      <c r="H27" s="8"/>
      <c r="I27" s="9" t="s">
        <v>27</v>
      </c>
    </row>
    <row r="28" spans="1:9" ht="15">
      <c r="A28" t="s">
        <v>21</v>
      </c>
      <c r="C28" s="1">
        <v>3669880000</v>
      </c>
      <c r="D28" s="1">
        <v>839792000</v>
      </c>
      <c r="E28" s="1">
        <f>489663959+664041</f>
        <v>490328000</v>
      </c>
      <c r="F28" s="1">
        <v>100000000</v>
      </c>
      <c r="G28" s="1">
        <f>SUM(C28:F28)</f>
        <v>5100000000</v>
      </c>
      <c r="I28" s="1">
        <f>+C28+D28</f>
        <v>4509672000</v>
      </c>
    </row>
    <row r="29" spans="1:10" ht="15">
      <c r="A29" t="s">
        <v>22</v>
      </c>
      <c r="C29" s="1">
        <v>-27000000</v>
      </c>
      <c r="D29" s="1">
        <v>0</v>
      </c>
      <c r="E29" s="1">
        <v>0</v>
      </c>
      <c r="F29" s="1">
        <v>0</v>
      </c>
      <c r="G29" s="1">
        <f>SUM(C29:F29)</f>
        <v>-27000000</v>
      </c>
      <c r="I29" s="1">
        <f>+C29+D29</f>
        <v>-27000000</v>
      </c>
      <c r="J29" s="16">
        <f>+I29/I28</f>
        <v>-0.0059871316583556405</v>
      </c>
    </row>
    <row r="30" spans="1:10" ht="15">
      <c r="A30" t="s">
        <v>23</v>
      </c>
      <c r="C30" s="1">
        <v>-300000</v>
      </c>
      <c r="D30" s="1">
        <v>0</v>
      </c>
      <c r="E30" s="1">
        <v>0</v>
      </c>
      <c r="F30" s="1">
        <v>0</v>
      </c>
      <c r="G30" s="1">
        <f>SUM(C30:F30)</f>
        <v>-300000</v>
      </c>
      <c r="I30" s="1">
        <f>+C30+D30</f>
        <v>-300000</v>
      </c>
      <c r="J30" s="16">
        <f>+I30/I28</f>
        <v>-6.652368509284045E-05</v>
      </c>
    </row>
    <row r="31" spans="1:10" ht="15">
      <c r="A31" t="s">
        <v>24</v>
      </c>
      <c r="C31" s="1">
        <v>-4933073</v>
      </c>
      <c r="D31" s="1">
        <v>-1137314</v>
      </c>
      <c r="E31" s="1">
        <v>-664041</v>
      </c>
      <c r="F31" s="1">
        <v>0</v>
      </c>
      <c r="G31" s="1">
        <f>SUM(C31:F31)</f>
        <v>-6734428</v>
      </c>
      <c r="I31" s="1">
        <f>+C31+D31</f>
        <v>-6070387</v>
      </c>
      <c r="J31" s="16">
        <f>+I31/I28</f>
        <v>-0.0013460817105989083</v>
      </c>
    </row>
    <row r="32" spans="1:9" ht="15">
      <c r="A32" s="44" t="s">
        <v>25</v>
      </c>
      <c r="B32" s="5"/>
      <c r="C32" s="5">
        <f>SUM(C28:C31)</f>
        <v>3637646927</v>
      </c>
      <c r="D32" s="5">
        <f>SUM(D28:D31)</f>
        <v>838654686</v>
      </c>
      <c r="E32" s="5">
        <f>SUM(E28:E31)</f>
        <v>489663959</v>
      </c>
      <c r="F32" s="5">
        <f>SUM(F28:F31)</f>
        <v>100000000</v>
      </c>
      <c r="G32" s="5">
        <f>SUM(G28:G31)</f>
        <v>5065965572</v>
      </c>
      <c r="H32" s="5"/>
      <c r="I32" s="5">
        <f>SUM(I28:I31)</f>
        <v>4476301613</v>
      </c>
    </row>
    <row r="34" spans="1:9" ht="15">
      <c r="A34" s="1" t="s">
        <v>12</v>
      </c>
      <c r="C34" s="1">
        <v>31137967</v>
      </c>
      <c r="D34" s="1">
        <v>14211328</v>
      </c>
      <c r="E34" s="1">
        <v>4191484</v>
      </c>
      <c r="F34" s="1">
        <v>0</v>
      </c>
      <c r="G34" s="1">
        <f>SUM(C34:F34)</f>
        <v>49540779</v>
      </c>
      <c r="I34" s="1">
        <f>+C34+D34</f>
        <v>45349295</v>
      </c>
    </row>
    <row r="35" spans="3:9" ht="15">
      <c r="C35" s="16">
        <f>+C34/C32</f>
        <v>0.008559920087043676</v>
      </c>
      <c r="D35" s="16">
        <f>+D34/D32</f>
        <v>0.016945386745266452</v>
      </c>
      <c r="E35" s="16">
        <f>+E34/E32</f>
        <v>0.008559919354816146</v>
      </c>
      <c r="F35" s="16">
        <f>+F34/F32</f>
        <v>0</v>
      </c>
      <c r="G35" s="16">
        <f>+G34/G32</f>
        <v>0.009779138506944438</v>
      </c>
      <c r="I35" s="29">
        <f>+I34/I32</f>
        <v>0.010130973942483532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23.99609375" style="1" customWidth="1"/>
    <col min="2" max="2" width="13.6640625" style="1" customWidth="1"/>
    <col min="3" max="3" width="12.88671875" style="1" customWidth="1"/>
    <col min="4" max="8" width="13.6640625" style="1" customWidth="1"/>
    <col min="9" max="9" width="8.88671875" style="1" customWidth="1"/>
    <col min="10" max="10" width="9.99609375" style="1" bestFit="1" customWidth="1"/>
    <col min="11" max="16384" width="8.88671875" style="1" customWidth="1"/>
  </cols>
  <sheetData>
    <row r="1" ht="15.75">
      <c r="A1" s="4" t="s">
        <v>487</v>
      </c>
    </row>
    <row r="3" spans="1:17" ht="15.75">
      <c r="A3" s="5"/>
      <c r="B3" s="187" t="s">
        <v>481</v>
      </c>
      <c r="C3" s="187"/>
      <c r="D3" s="187"/>
      <c r="E3" s="188" t="s">
        <v>485</v>
      </c>
      <c r="F3" s="187"/>
      <c r="G3" s="187"/>
      <c r="H3" s="176" t="s">
        <v>478</v>
      </c>
      <c r="I3" s="174" t="s">
        <v>483</v>
      </c>
      <c r="J3" s="5"/>
      <c r="K3" s="5"/>
      <c r="L3" s="5"/>
      <c r="M3" s="5"/>
      <c r="N3" s="5"/>
      <c r="O3" s="5"/>
      <c r="P3" s="5"/>
      <c r="Q3" s="5"/>
    </row>
    <row r="4" spans="1:17" ht="15.75" thickBot="1">
      <c r="A4" s="8" t="s">
        <v>16</v>
      </c>
      <c r="B4" s="9" t="s">
        <v>173</v>
      </c>
      <c r="C4" s="9" t="s">
        <v>477</v>
      </c>
      <c r="D4" s="9" t="s">
        <v>11</v>
      </c>
      <c r="E4" s="32" t="s">
        <v>173</v>
      </c>
      <c r="F4" s="9" t="s">
        <v>477</v>
      </c>
      <c r="G4" s="9" t="s">
        <v>11</v>
      </c>
      <c r="H4" s="32" t="s">
        <v>479</v>
      </c>
      <c r="I4" s="9"/>
      <c r="J4" s="8" t="s">
        <v>484</v>
      </c>
      <c r="K4" s="8"/>
      <c r="L4" s="8"/>
      <c r="M4" s="8"/>
      <c r="N4" s="8"/>
      <c r="O4" s="8"/>
      <c r="P4" s="8"/>
      <c r="Q4" s="8"/>
    </row>
    <row r="5" spans="1:9" ht="15">
      <c r="A5" s="15"/>
      <c r="B5" s="25"/>
      <c r="C5" s="25"/>
      <c r="D5" s="25"/>
      <c r="E5" s="101"/>
      <c r="F5" s="25"/>
      <c r="G5" s="25"/>
      <c r="H5" s="101"/>
      <c r="I5" s="25"/>
    </row>
    <row r="6" spans="1:9" ht="15">
      <c r="A6" s="15"/>
      <c r="B6" s="25"/>
      <c r="C6" s="25"/>
      <c r="D6" s="25"/>
      <c r="E6" s="177" t="s">
        <v>486</v>
      </c>
      <c r="F6" s="25"/>
      <c r="G6" s="25"/>
      <c r="H6" s="101"/>
      <c r="I6" s="25"/>
    </row>
    <row r="7" spans="1:9" ht="15">
      <c r="A7" s="1" t="s">
        <v>459</v>
      </c>
      <c r="B7" s="6">
        <v>1700000</v>
      </c>
      <c r="C7" s="1">
        <v>0</v>
      </c>
      <c r="D7" s="1">
        <f>+B7+C7</f>
        <v>1700000</v>
      </c>
      <c r="E7" s="103">
        <f>(+'FA Adm Funds'!C12+'FA Adm Funds'!C17)</f>
        <v>864733.5572485616</v>
      </c>
      <c r="F7" s="15">
        <f>+E7</f>
        <v>864733.5572485616</v>
      </c>
      <c r="G7" s="15">
        <f>+E7+F7</f>
        <v>1729467.1144971233</v>
      </c>
      <c r="H7" s="103">
        <f>+D7-G7</f>
        <v>-29467.114497123286</v>
      </c>
      <c r="I7" s="136">
        <f>+H7/D7</f>
        <v>-0.017333596763013697</v>
      </c>
    </row>
    <row r="8" spans="1:10" ht="15">
      <c r="A8" s="1" t="s">
        <v>462</v>
      </c>
      <c r="B8" s="6">
        <v>13100000</v>
      </c>
      <c r="C8" s="1">
        <v>0</v>
      </c>
      <c r="D8" s="1">
        <f>+B8+C8</f>
        <v>13100000</v>
      </c>
      <c r="E8" s="103">
        <v>2246199</v>
      </c>
      <c r="F8" s="15">
        <f>+E8+E8/2</f>
        <v>3369298.5</v>
      </c>
      <c r="G8" s="15">
        <f>+E8+F8</f>
        <v>5615497.5</v>
      </c>
      <c r="H8" s="103">
        <f aca="true" t="shared" si="0" ref="H8:H17">+D8-G8</f>
        <v>7484502.5</v>
      </c>
      <c r="I8" s="136">
        <f aca="true" t="shared" si="1" ref="I8:I17">+H8/D8</f>
        <v>0.57133606870229</v>
      </c>
      <c r="J8" s="1" t="s">
        <v>490</v>
      </c>
    </row>
    <row r="9" spans="1:10" ht="15">
      <c r="A9" s="1" t="s">
        <v>458</v>
      </c>
      <c r="B9" s="6">
        <v>5185801.774199999</v>
      </c>
      <c r="C9" s="1">
        <v>0</v>
      </c>
      <c r="D9" s="1">
        <f>+B9+C9</f>
        <v>5185801.774199999</v>
      </c>
      <c r="E9" s="103">
        <f>+'FC AS FMAP'!D19+'FC AS FMAP'!D20/4</f>
        <v>2583851</v>
      </c>
      <c r="F9" s="15">
        <f>+'FC AS FMAP'!D20*0.75</f>
        <v>2006511</v>
      </c>
      <c r="G9" s="15">
        <f>+E9+F9</f>
        <v>4590362</v>
      </c>
      <c r="H9" s="103">
        <f t="shared" si="0"/>
        <v>595439.7741999989</v>
      </c>
      <c r="I9" s="136">
        <f t="shared" si="1"/>
        <v>0.11482115979873835</v>
      </c>
      <c r="J9" s="1" t="s">
        <v>491</v>
      </c>
    </row>
    <row r="10" spans="1:9" ht="15">
      <c r="A10" s="1" t="s">
        <v>464</v>
      </c>
      <c r="B10" s="6" t="s">
        <v>465</v>
      </c>
      <c r="C10" s="6" t="s">
        <v>465</v>
      </c>
      <c r="D10" s="6" t="s">
        <v>465</v>
      </c>
      <c r="E10" s="103">
        <f>+Summary!E8+Summary!H8/4</f>
        <v>48849324</v>
      </c>
      <c r="F10" s="15">
        <f>+Summary!H8*0.75+Summary!K8/2</f>
        <v>62135374</v>
      </c>
      <c r="G10" s="15">
        <f>+E10+F10</f>
        <v>110984698</v>
      </c>
      <c r="H10" s="101" t="s">
        <v>465</v>
      </c>
      <c r="I10" s="6" t="s">
        <v>465</v>
      </c>
    </row>
    <row r="11" spans="1:9" ht="15">
      <c r="A11" s="1" t="s">
        <v>466</v>
      </c>
      <c r="B11" s="6" t="s">
        <v>465</v>
      </c>
      <c r="C11" s="6" t="s">
        <v>465</v>
      </c>
      <c r="D11" s="6" t="s">
        <v>465</v>
      </c>
      <c r="E11" s="103"/>
      <c r="F11" s="15"/>
      <c r="G11" s="15"/>
      <c r="H11" s="101" t="s">
        <v>465</v>
      </c>
      <c r="I11" s="6" t="s">
        <v>465</v>
      </c>
    </row>
    <row r="12" spans="1:9" ht="15">
      <c r="A12" s="1" t="s">
        <v>463</v>
      </c>
      <c r="B12" s="6" t="s">
        <v>465</v>
      </c>
      <c r="C12" s="6" t="s">
        <v>465</v>
      </c>
      <c r="D12" s="6" t="s">
        <v>465</v>
      </c>
      <c r="E12" s="103">
        <f>+TANF!H19</f>
        <v>143360.63959113942</v>
      </c>
      <c r="F12" s="15">
        <f>+TANF!H25</f>
        <v>4985407.44761356</v>
      </c>
      <c r="G12" s="15">
        <f>+E12+F12</f>
        <v>5128768.087204699</v>
      </c>
      <c r="H12" s="101" t="s">
        <v>465</v>
      </c>
      <c r="I12" s="6" t="s">
        <v>465</v>
      </c>
    </row>
    <row r="13" spans="1:9" ht="15">
      <c r="A13" s="1" t="s">
        <v>31</v>
      </c>
      <c r="B13" s="6">
        <v>18415000</v>
      </c>
      <c r="C13" s="1">
        <v>0</v>
      </c>
      <c r="D13" s="1">
        <f>+B13+C13</f>
        <v>18415000</v>
      </c>
      <c r="E13" s="103">
        <f>+Summary!E21</f>
        <v>18463000</v>
      </c>
      <c r="F13" s="15">
        <v>0</v>
      </c>
      <c r="G13" s="15">
        <f>+E13+F13</f>
        <v>18463000</v>
      </c>
      <c r="H13" s="103">
        <f t="shared" si="0"/>
        <v>-48000</v>
      </c>
      <c r="I13" s="136">
        <f t="shared" si="1"/>
        <v>-0.00260657073038284</v>
      </c>
    </row>
    <row r="14" spans="1:9" ht="15">
      <c r="A14" s="1" t="s">
        <v>457</v>
      </c>
      <c r="B14" s="6">
        <v>5108753</v>
      </c>
      <c r="C14" s="1">
        <v>0</v>
      </c>
      <c r="D14" s="1">
        <f>+B14+C14</f>
        <v>5108753</v>
      </c>
      <c r="E14" s="103">
        <v>0</v>
      </c>
      <c r="F14" s="15">
        <f>+VR!C23+VR!D23</f>
        <v>5108753</v>
      </c>
      <c r="G14" s="15">
        <f>+E14+F14</f>
        <v>5108753</v>
      </c>
      <c r="H14" s="103">
        <f t="shared" si="0"/>
        <v>0</v>
      </c>
      <c r="I14" s="136">
        <f t="shared" si="1"/>
        <v>0</v>
      </c>
    </row>
    <row r="15" spans="1:9" ht="15">
      <c r="A15" s="1" t="s">
        <v>460</v>
      </c>
      <c r="B15" s="6">
        <v>242913</v>
      </c>
      <c r="C15" s="1">
        <v>0</v>
      </c>
      <c r="D15" s="1">
        <f>+B15+C15</f>
        <v>242913</v>
      </c>
      <c r="E15" s="103"/>
      <c r="F15" s="15">
        <f>+VR!C25+VR!D25</f>
        <v>242913</v>
      </c>
      <c r="G15" s="15">
        <f>+E15+F15</f>
        <v>242913</v>
      </c>
      <c r="H15" s="103">
        <f t="shared" si="0"/>
        <v>0</v>
      </c>
      <c r="I15" s="136">
        <f t="shared" si="1"/>
        <v>0</v>
      </c>
    </row>
    <row r="16" spans="1:10" ht="15">
      <c r="A16" s="1" t="s">
        <v>461</v>
      </c>
      <c r="B16" s="6">
        <v>127000000</v>
      </c>
      <c r="C16" s="1">
        <v>0</v>
      </c>
      <c r="D16" s="1">
        <f>+B16+C16</f>
        <v>127000000</v>
      </c>
      <c r="E16" s="103">
        <f>+'FA Ben Incr'!F15+'FA Ben Incr'!F16/4+'FA ABAWDs'!C11+'FA ABAWDs'!D11/4</f>
        <v>28345614.499327734</v>
      </c>
      <c r="F16" s="15">
        <f>+'FA Ben Incr'!F16*0.75+'FA ABAWDs'!D11*0.75</f>
        <v>45764032.1857549</v>
      </c>
      <c r="G16" s="15">
        <f>+E16+F16</f>
        <v>74109646.68508264</v>
      </c>
      <c r="H16" s="103">
        <f t="shared" si="0"/>
        <v>52890353.314917356</v>
      </c>
      <c r="I16" s="136">
        <f t="shared" si="1"/>
        <v>0.4164594749206091</v>
      </c>
      <c r="J16" s="1" t="s">
        <v>492</v>
      </c>
    </row>
    <row r="17" spans="1:17" ht="15.75" thickBot="1">
      <c r="A17" s="8" t="s">
        <v>456</v>
      </c>
      <c r="B17" s="9">
        <v>903827</v>
      </c>
      <c r="C17" s="8">
        <v>0</v>
      </c>
      <c r="D17" s="8">
        <f>+B17+C17</f>
        <v>903827</v>
      </c>
      <c r="E17" s="170">
        <f>+Summary!E19</f>
        <v>1129000</v>
      </c>
      <c r="F17" s="8">
        <v>0</v>
      </c>
      <c r="G17" s="8">
        <f>+E17+F17</f>
        <v>1129000</v>
      </c>
      <c r="H17" s="170">
        <f t="shared" si="0"/>
        <v>-225173</v>
      </c>
      <c r="I17" s="175">
        <f t="shared" si="1"/>
        <v>-0.24913285396430954</v>
      </c>
      <c r="J17" s="8" t="s">
        <v>494</v>
      </c>
      <c r="K17" s="8"/>
      <c r="L17" s="8"/>
      <c r="M17" s="8"/>
      <c r="N17" s="8"/>
      <c r="O17" s="8"/>
      <c r="P17" s="8"/>
      <c r="Q17" s="8"/>
    </row>
    <row r="18" spans="1:9" ht="15">
      <c r="A18" s="15"/>
      <c r="B18" s="25"/>
      <c r="C18" s="15"/>
      <c r="D18" s="15"/>
      <c r="E18" s="103"/>
      <c r="F18" s="15"/>
      <c r="G18" s="15"/>
      <c r="H18" s="103"/>
      <c r="I18" s="178"/>
    </row>
    <row r="19" spans="1:9" ht="15">
      <c r="A19" s="15"/>
      <c r="B19" s="25"/>
      <c r="C19" s="15"/>
      <c r="D19" s="15"/>
      <c r="E19" s="179" t="s">
        <v>480</v>
      </c>
      <c r="F19" s="15"/>
      <c r="G19" s="15"/>
      <c r="H19" s="103"/>
      <c r="I19" s="178"/>
    </row>
    <row r="20" spans="1:10" ht="15">
      <c r="A20" s="1" t="s">
        <v>468</v>
      </c>
      <c r="B20" s="6">
        <v>154381991.33006367</v>
      </c>
      <c r="C20" s="1">
        <v>247802372.25586432</v>
      </c>
      <c r="D20" s="1">
        <f>+B20+C20</f>
        <v>402184363.58592796</v>
      </c>
      <c r="E20" s="103">
        <f>+E33</f>
        <v>162787316.25</v>
      </c>
      <c r="F20" s="15">
        <f>+F33+G33</f>
        <v>277125018.75</v>
      </c>
      <c r="G20" s="15">
        <f>+E20+F20</f>
        <v>439912335</v>
      </c>
      <c r="H20" s="103">
        <f>+D20-G20</f>
        <v>-37727971.41407204</v>
      </c>
      <c r="I20" s="136">
        <f>+H20/D20</f>
        <v>-0.09380765347932613</v>
      </c>
      <c r="J20" s="1" t="s">
        <v>493</v>
      </c>
    </row>
    <row r="21" spans="1:17" ht="15.75" thickBot="1">
      <c r="A21" s="8" t="s">
        <v>469</v>
      </c>
      <c r="B21" s="9">
        <v>2045673.6299999976</v>
      </c>
      <c r="C21" s="8">
        <v>0</v>
      </c>
      <c r="D21" s="8">
        <f>+B21+C21</f>
        <v>2045673.6299999976</v>
      </c>
      <c r="E21" s="32" t="s">
        <v>465</v>
      </c>
      <c r="F21" s="9" t="s">
        <v>465</v>
      </c>
      <c r="G21" s="9" t="s">
        <v>465</v>
      </c>
      <c r="H21" s="32" t="s">
        <v>465</v>
      </c>
      <c r="I21" s="9" t="s">
        <v>465</v>
      </c>
      <c r="J21" s="8"/>
      <c r="K21" s="8"/>
      <c r="L21" s="8"/>
      <c r="M21" s="8"/>
      <c r="N21" s="8"/>
      <c r="O21" s="8"/>
      <c r="P21" s="8"/>
      <c r="Q21" s="8"/>
    </row>
    <row r="26" ht="15">
      <c r="A26" s="3" t="s">
        <v>482</v>
      </c>
    </row>
    <row r="28" spans="1:7" ht="15">
      <c r="A28" s="5"/>
      <c r="B28" s="12" t="s">
        <v>6</v>
      </c>
      <c r="C28" s="12" t="s">
        <v>15</v>
      </c>
      <c r="D28" s="12" t="s">
        <v>231</v>
      </c>
      <c r="E28" s="184" t="s">
        <v>476</v>
      </c>
      <c r="F28" s="183"/>
      <c r="G28" s="183"/>
    </row>
    <row r="29" spans="1:7" ht="15.75" thickBot="1">
      <c r="A29" s="8" t="s">
        <v>475</v>
      </c>
      <c r="B29" s="42" t="s">
        <v>472</v>
      </c>
      <c r="C29" s="42" t="s">
        <v>473</v>
      </c>
      <c r="D29" s="42" t="s">
        <v>474</v>
      </c>
      <c r="E29" s="32" t="s">
        <v>173</v>
      </c>
      <c r="F29" s="9" t="s">
        <v>180</v>
      </c>
      <c r="G29" s="9" t="s">
        <v>181</v>
      </c>
    </row>
    <row r="30" spans="1:7" ht="15">
      <c r="A30" s="1" t="s">
        <v>470</v>
      </c>
      <c r="B30" s="1">
        <v>56030789</v>
      </c>
      <c r="C30" s="1">
        <v>109652302</v>
      </c>
      <c r="D30" s="1">
        <v>64710265</v>
      </c>
      <c r="E30" s="103">
        <f>+B30+C30/4</f>
        <v>83443864.5</v>
      </c>
      <c r="F30" s="15">
        <f>+C30*(3)/4+D30/2</f>
        <v>114594359</v>
      </c>
      <c r="G30" s="15">
        <f>+D30/2</f>
        <v>32355132.5</v>
      </c>
    </row>
    <row r="31" spans="1:7" ht="15">
      <c r="A31" s="1" t="s">
        <v>471</v>
      </c>
      <c r="B31" s="1">
        <v>21028902</v>
      </c>
      <c r="C31" s="1">
        <v>37860903</v>
      </c>
      <c r="D31" s="1">
        <v>22185177</v>
      </c>
      <c r="E31" s="103">
        <f>+B31+C31/4</f>
        <v>30494127.75</v>
      </c>
      <c r="F31" s="15">
        <f>+C31*(3)/4+D31/2</f>
        <v>39488265.75</v>
      </c>
      <c r="G31" s="15">
        <f>+D31/2</f>
        <v>11092588.5</v>
      </c>
    </row>
    <row r="32" spans="1:7" ht="15">
      <c r="A32" s="1" t="s">
        <v>467</v>
      </c>
      <c r="B32" s="1">
        <v>33957299</v>
      </c>
      <c r="C32" s="1">
        <v>59568100</v>
      </c>
      <c r="D32" s="1">
        <v>34918598</v>
      </c>
      <c r="E32" s="103">
        <f>+B32+C32/4</f>
        <v>48849324</v>
      </c>
      <c r="F32" s="15">
        <f>+C32*(3)/4+D32/2</f>
        <v>62135374</v>
      </c>
      <c r="G32" s="15">
        <f>+D32/2</f>
        <v>17459299</v>
      </c>
    </row>
    <row r="33" spans="1:7" ht="15.75" thickBot="1">
      <c r="A33" s="17" t="s">
        <v>11</v>
      </c>
      <c r="B33" s="17">
        <f aca="true" t="shared" si="2" ref="B33:G33">SUM(B30:B32)</f>
        <v>111016990</v>
      </c>
      <c r="C33" s="17">
        <f t="shared" si="2"/>
        <v>207081305</v>
      </c>
      <c r="D33" s="17">
        <f t="shared" si="2"/>
        <v>121814040</v>
      </c>
      <c r="E33" s="173">
        <f t="shared" si="2"/>
        <v>162787316.25</v>
      </c>
      <c r="F33" s="17">
        <f t="shared" si="2"/>
        <v>216217998.75</v>
      </c>
      <c r="G33" s="17">
        <f t="shared" si="2"/>
        <v>60907020</v>
      </c>
    </row>
  </sheetData>
  <sheetProtection/>
  <mergeCells count="3">
    <mergeCell ref="E28:G28"/>
    <mergeCell ref="B3:D3"/>
    <mergeCell ref="E3:G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70" zoomScaleNormal="70" zoomScalePageLayoutView="0" workbookViewId="0" topLeftCell="A1">
      <selection activeCell="G9" sqref="G9"/>
    </sheetView>
  </sheetViews>
  <sheetFormatPr defaultColWidth="8.88671875" defaultRowHeight="15"/>
  <cols>
    <col min="1" max="1" width="8.88671875" style="1" customWidth="1"/>
    <col min="2" max="3" width="13.6640625" style="1" bestFit="1" customWidth="1"/>
    <col min="4" max="4" width="12.5546875" style="1" bestFit="1" customWidth="1"/>
    <col min="5" max="5" width="10.99609375" style="1" bestFit="1" customWidth="1"/>
    <col min="6" max="16384" width="8.88671875" style="1" customWidth="1"/>
  </cols>
  <sheetData>
    <row r="1" ht="15.75">
      <c r="A1" s="4" t="s">
        <v>262</v>
      </c>
    </row>
    <row r="3" spans="1:6" ht="15.75">
      <c r="A3" s="87" t="s">
        <v>408</v>
      </c>
      <c r="E3" s="88"/>
      <c r="F3" s="88"/>
    </row>
    <row r="4" spans="1:6" ht="15">
      <c r="A4" s="1" t="s">
        <v>422</v>
      </c>
      <c r="E4" s="88"/>
      <c r="F4" s="88"/>
    </row>
    <row r="5" ht="15">
      <c r="F5" s="136"/>
    </row>
    <row r="7" ht="15.75">
      <c r="A7" s="4" t="s">
        <v>267</v>
      </c>
    </row>
    <row r="8" spans="2:4" ht="15">
      <c r="B8" s="29">
        <v>0.6008</v>
      </c>
      <c r="C8" s="29">
        <v>0.6628</v>
      </c>
      <c r="D8" s="6" t="s">
        <v>7</v>
      </c>
    </row>
    <row r="9" spans="1:7" ht="15">
      <c r="A9" s="1" t="s">
        <v>253</v>
      </c>
      <c r="B9" s="1">
        <v>11439715</v>
      </c>
      <c r="C9" s="1">
        <v>12381845</v>
      </c>
      <c r="D9" s="1">
        <f>+C9-B9</f>
        <v>942130</v>
      </c>
      <c r="G9" s="105"/>
    </row>
    <row r="10" spans="1:4" ht="15">
      <c r="A10" s="1" t="s">
        <v>254</v>
      </c>
      <c r="B10" s="1">
        <v>12362525</v>
      </c>
      <c r="C10" s="1">
        <v>13633525</v>
      </c>
      <c r="D10" s="1">
        <f>+C10-B10</f>
        <v>1271000</v>
      </c>
    </row>
    <row r="13" ht="15.75">
      <c r="A13" s="4" t="s">
        <v>268</v>
      </c>
    </row>
    <row r="14" spans="2:4" ht="15">
      <c r="B14" s="29">
        <v>0.6008</v>
      </c>
      <c r="C14" s="29">
        <v>0.6498</v>
      </c>
      <c r="D14" s="6" t="s">
        <v>7</v>
      </c>
    </row>
    <row r="15" spans="1:7" ht="15">
      <c r="A15" s="1" t="s">
        <v>253</v>
      </c>
      <c r="B15" s="1">
        <v>11933900</v>
      </c>
      <c r="C15" s="1">
        <v>12906784</v>
      </c>
      <c r="D15" s="1">
        <f>+C15-B15</f>
        <v>972884</v>
      </c>
      <c r="G15" s="172">
        <f>+D15/D16</f>
        <v>0.6927656108030203</v>
      </c>
    </row>
    <row r="16" spans="1:4" ht="15">
      <c r="A16" s="1" t="s">
        <v>254</v>
      </c>
      <c r="B16" s="1">
        <v>12980494</v>
      </c>
      <c r="C16" s="1">
        <v>14384842</v>
      </c>
      <c r="D16" s="1">
        <f>+C16-B16</f>
        <v>1404348</v>
      </c>
    </row>
    <row r="18" ht="15">
      <c r="A18" s="1" t="s">
        <v>11</v>
      </c>
    </row>
    <row r="19" spans="1:4" ht="15">
      <c r="A19" s="1" t="s">
        <v>253</v>
      </c>
      <c r="D19" s="1">
        <f>+D9+D15</f>
        <v>1915014</v>
      </c>
    </row>
    <row r="20" spans="1:4" ht="15">
      <c r="A20" s="1" t="s">
        <v>254</v>
      </c>
      <c r="D20" s="1">
        <f>+D10+D16</f>
        <v>2675348</v>
      </c>
    </row>
    <row r="22" ht="15">
      <c r="A22" s="1" t="s">
        <v>255</v>
      </c>
    </row>
    <row r="23" ht="25.5" customHeight="1">
      <c r="A23" s="1" t="s">
        <v>256</v>
      </c>
    </row>
    <row r="24" ht="15">
      <c r="A24" s="1" t="s">
        <v>257</v>
      </c>
    </row>
    <row r="25" ht="15">
      <c r="A25" s="1" t="s">
        <v>258</v>
      </c>
    </row>
    <row r="26" ht="15">
      <c r="A26" s="1" t="s">
        <v>259</v>
      </c>
    </row>
    <row r="27" ht="15">
      <c r="A27" s="1" t="s">
        <v>260</v>
      </c>
    </row>
    <row r="28" ht="15">
      <c r="A28" s="1" t="s">
        <v>261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="70" zoomScaleNormal="70" zoomScalePageLayoutView="0" workbookViewId="0" topLeftCell="A1">
      <selection activeCell="K14" sqref="K14"/>
    </sheetView>
  </sheetViews>
  <sheetFormatPr defaultColWidth="8.88671875" defaultRowHeight="15"/>
  <cols>
    <col min="1" max="1" width="8.88671875" style="1" customWidth="1"/>
    <col min="2" max="2" width="9.99609375" style="1" bestFit="1" customWidth="1"/>
    <col min="3" max="3" width="8.88671875" style="1" customWidth="1"/>
    <col min="4" max="4" width="9.99609375" style="1" bestFit="1" customWidth="1"/>
    <col min="5" max="5" width="8.88671875" style="1" customWidth="1"/>
    <col min="6" max="6" width="10.5546875" style="1" bestFit="1" customWidth="1"/>
    <col min="7" max="8" width="10.4453125" style="1" customWidth="1"/>
    <col min="9" max="9" width="8.88671875" style="1" customWidth="1"/>
    <col min="10" max="10" width="9.99609375" style="1" bestFit="1" customWidth="1"/>
    <col min="11" max="11" width="10.99609375" style="1" bestFit="1" customWidth="1"/>
    <col min="12" max="12" width="9.99609375" style="1" bestFit="1" customWidth="1"/>
    <col min="13" max="14" width="8.88671875" style="1" customWidth="1"/>
    <col min="15" max="15" width="10.99609375" style="1" bestFit="1" customWidth="1"/>
    <col min="16" max="16" width="5.5546875" style="1" customWidth="1"/>
    <col min="17" max="20" width="8.88671875" style="1" customWidth="1"/>
    <col min="21" max="22" width="10.4453125" style="1" customWidth="1"/>
    <col min="23" max="23" width="8.88671875" style="1" customWidth="1"/>
    <col min="24" max="25" width="9.99609375" style="1" bestFit="1" customWidth="1"/>
    <col min="26" max="16384" width="8.88671875" style="1" customWidth="1"/>
  </cols>
  <sheetData>
    <row r="1" ht="15.75">
      <c r="A1" s="87" t="s">
        <v>242</v>
      </c>
    </row>
    <row r="3" ht="15">
      <c r="A3" s="1" t="s">
        <v>245</v>
      </c>
    </row>
    <row r="4" ht="15">
      <c r="A4" s="1" t="s">
        <v>244</v>
      </c>
    </row>
    <row r="5" ht="15">
      <c r="A5" s="1" t="s">
        <v>246</v>
      </c>
    </row>
    <row r="6" ht="15">
      <c r="A6" s="1" t="s">
        <v>273</v>
      </c>
    </row>
    <row r="8" ht="15">
      <c r="A8" s="1" t="s">
        <v>433</v>
      </c>
    </row>
    <row r="9" ht="15">
      <c r="A9" s="1" t="s">
        <v>434</v>
      </c>
    </row>
    <row r="10" ht="15">
      <c r="A10" s="1" t="s">
        <v>432</v>
      </c>
    </row>
    <row r="12" spans="1:12" ht="15.75">
      <c r="A12" s="5" t="s">
        <v>10</v>
      </c>
      <c r="B12" s="5"/>
      <c r="C12" s="5" t="s">
        <v>269</v>
      </c>
      <c r="D12" s="12" t="s">
        <v>407</v>
      </c>
      <c r="E12" s="5"/>
      <c r="F12" s="12" t="s">
        <v>263</v>
      </c>
      <c r="G12" s="90" t="s">
        <v>46</v>
      </c>
      <c r="H12" s="89" t="s">
        <v>265</v>
      </c>
      <c r="J12" s="18" t="s">
        <v>266</v>
      </c>
      <c r="K12" s="5"/>
      <c r="L12" s="5"/>
    </row>
    <row r="13" spans="1:12" ht="15.75" thickBot="1">
      <c r="A13" s="8" t="s">
        <v>272</v>
      </c>
      <c r="B13" s="8" t="s">
        <v>132</v>
      </c>
      <c r="C13" s="8" t="s">
        <v>271</v>
      </c>
      <c r="D13" s="9" t="s">
        <v>176</v>
      </c>
      <c r="E13" s="9" t="s">
        <v>7</v>
      </c>
      <c r="F13" s="9" t="s">
        <v>264</v>
      </c>
      <c r="G13" s="9" t="s">
        <v>7</v>
      </c>
      <c r="H13" s="9" t="s">
        <v>7</v>
      </c>
      <c r="J13" s="9" t="s">
        <v>6</v>
      </c>
      <c r="K13" s="9" t="s">
        <v>15</v>
      </c>
      <c r="L13" s="9" t="s">
        <v>231</v>
      </c>
    </row>
    <row r="14" spans="5:12" ht="15">
      <c r="E14" s="6"/>
      <c r="F14" s="6"/>
      <c r="G14" s="6"/>
      <c r="H14" s="6"/>
      <c r="J14" s="1">
        <f>SUM(H15:H17)</f>
        <v>0</v>
      </c>
      <c r="K14" s="1">
        <f>ROUND(+H18+SUM(H21:H23),-4)</f>
        <v>3260000</v>
      </c>
      <c r="L14" s="1">
        <f>ROUND(+H24,-4)</f>
        <v>1860000</v>
      </c>
    </row>
    <row r="15" spans="1:15" ht="15">
      <c r="A15" s="3" t="s">
        <v>210</v>
      </c>
      <c r="B15" s="1" t="s">
        <v>247</v>
      </c>
      <c r="C15" s="1">
        <f>+M21</f>
        <v>13137</v>
      </c>
      <c r="D15" s="1">
        <v>11868.2124548337</v>
      </c>
      <c r="E15" s="1">
        <f>+D15-C15</f>
        <v>-1268.7875451663003</v>
      </c>
      <c r="F15" s="1">
        <v>307.901924121449</v>
      </c>
      <c r="G15" s="1">
        <f>IF(E15&lt;0,0,E15*F15*3)</f>
        <v>0</v>
      </c>
      <c r="H15" s="1">
        <f>+G15*0.8</f>
        <v>0</v>
      </c>
      <c r="O15" s="135"/>
    </row>
    <row r="16" spans="2:15" ht="15">
      <c r="B16" s="1" t="s">
        <v>248</v>
      </c>
      <c r="C16" s="1">
        <f>+M22</f>
        <v>12569.666666666666</v>
      </c>
      <c r="D16" s="1">
        <v>11892.0000000005</v>
      </c>
      <c r="E16" s="1">
        <f>+D16-C16</f>
        <v>-677.6666666661658</v>
      </c>
      <c r="F16" s="1">
        <v>308.024955841741</v>
      </c>
      <c r="G16" s="1">
        <f>IF(E16&lt;0,0,E16*F16*3)</f>
        <v>0</v>
      </c>
      <c r="H16" s="1">
        <f aca="true" t="shared" si="0" ref="H16:H24">+G16*0.8</f>
        <v>0</v>
      </c>
      <c r="O16" s="135"/>
    </row>
    <row r="17" spans="2:15" ht="15">
      <c r="B17" s="1" t="s">
        <v>249</v>
      </c>
      <c r="C17" s="1">
        <f>+M23</f>
        <v>11984.333333333334</v>
      </c>
      <c r="D17" s="1">
        <v>11747.9038921262</v>
      </c>
      <c r="E17" s="1">
        <f>+D17-C17</f>
        <v>-236.429441207134</v>
      </c>
      <c r="F17" s="1">
        <v>302.085729965958</v>
      </c>
      <c r="G17" s="1">
        <f>IF(E17&lt;0,0,E17*F17*3*0.95)</f>
        <v>0</v>
      </c>
      <c r="H17" s="1">
        <f t="shared" si="0"/>
        <v>0</v>
      </c>
      <c r="O17" s="135"/>
    </row>
    <row r="18" spans="2:15" ht="15.75">
      <c r="B18" s="1" t="s">
        <v>250</v>
      </c>
      <c r="C18" s="1">
        <f>+M24</f>
        <v>12292.666666666666</v>
      </c>
      <c r="D18" s="1">
        <v>12500.3450561912</v>
      </c>
      <c r="E18" s="1">
        <f>+D18-C18</f>
        <v>207.6783895245335</v>
      </c>
      <c r="F18" s="1">
        <v>302.763680173174</v>
      </c>
      <c r="G18" s="1">
        <f>IF(E18&lt;0,0,E18*F18*3*0.95)</f>
        <v>179200.79948892427</v>
      </c>
      <c r="H18" s="1">
        <f t="shared" si="0"/>
        <v>143360.63959113942</v>
      </c>
      <c r="J18" s="18" t="s">
        <v>270</v>
      </c>
      <c r="K18" s="5"/>
      <c r="L18" s="5"/>
      <c r="M18" s="5"/>
      <c r="O18" s="135"/>
    </row>
    <row r="19" spans="2:13" ht="15.75" thickBot="1">
      <c r="B19" s="5" t="s">
        <v>7</v>
      </c>
      <c r="C19" s="5"/>
      <c r="D19" s="5"/>
      <c r="E19" s="5"/>
      <c r="F19" s="5"/>
      <c r="G19" s="5"/>
      <c r="H19" s="5">
        <f>SUM(H15:H18)</f>
        <v>143360.63959113942</v>
      </c>
      <c r="J19" s="8" t="s">
        <v>132</v>
      </c>
      <c r="K19" s="8" t="s">
        <v>251</v>
      </c>
      <c r="L19" s="8" t="s">
        <v>252</v>
      </c>
      <c r="M19" s="8" t="s">
        <v>271</v>
      </c>
    </row>
    <row r="21" spans="1:15" ht="15">
      <c r="A21" s="3" t="s">
        <v>223</v>
      </c>
      <c r="B21" s="1" t="s">
        <v>247</v>
      </c>
      <c r="C21" s="1">
        <f>+M21</f>
        <v>13137</v>
      </c>
      <c r="D21" s="1">
        <v>13418.3232763505</v>
      </c>
      <c r="E21" s="1">
        <f>+D21-C21</f>
        <v>281.32327635050024</v>
      </c>
      <c r="F21" s="1">
        <v>293.817190205882</v>
      </c>
      <c r="G21" s="1">
        <f>IF(E21&lt;0,0,E21*F21*3*0.95)</f>
        <v>235574.201600928</v>
      </c>
      <c r="H21" s="1">
        <f t="shared" si="0"/>
        <v>188459.36128074242</v>
      </c>
      <c r="J21" s="1" t="s">
        <v>247</v>
      </c>
      <c r="K21" s="1">
        <v>15839</v>
      </c>
      <c r="L21" s="1">
        <v>13137</v>
      </c>
      <c r="M21" s="1">
        <f>MIN(K21:L21)</f>
        <v>13137</v>
      </c>
      <c r="O21" s="135"/>
    </row>
    <row r="22" spans="2:15" ht="15">
      <c r="B22" s="1" t="s">
        <v>248</v>
      </c>
      <c r="C22" s="1">
        <f>+M22</f>
        <v>12569.666666666666</v>
      </c>
      <c r="D22" s="1">
        <v>14200.8620869781</v>
      </c>
      <c r="E22" s="1">
        <f>+D22-C22</f>
        <v>1631.1954203114346</v>
      </c>
      <c r="F22" s="1">
        <v>293.910398876078</v>
      </c>
      <c r="G22" s="1">
        <f>IF(E22&lt;0,0,E22*F22*3*0.95)</f>
        <v>1366362.0953914113</v>
      </c>
      <c r="H22" s="1">
        <f t="shared" si="0"/>
        <v>1093089.676313129</v>
      </c>
      <c r="J22" s="1" t="s">
        <v>248</v>
      </c>
      <c r="K22" s="1">
        <v>14799.666666666666</v>
      </c>
      <c r="L22" s="1">
        <v>12569.666666666666</v>
      </c>
      <c r="M22" s="1">
        <f>MIN(K22:L22)</f>
        <v>12569.666666666666</v>
      </c>
      <c r="O22" s="135"/>
    </row>
    <row r="23" spans="2:15" ht="15">
      <c r="B23" s="1" t="s">
        <v>249</v>
      </c>
      <c r="C23" s="1">
        <f>+M23</f>
        <v>11984.333333333334</v>
      </c>
      <c r="D23" s="1">
        <v>14727.5709018235</v>
      </c>
      <c r="E23" s="1">
        <f>+D23-C23</f>
        <v>2743.2375684901654</v>
      </c>
      <c r="F23" s="1">
        <v>294.023857888252</v>
      </c>
      <c r="G23" s="1">
        <f>IF(E23&lt;0,0,E23*F23*3*0.95)</f>
        <v>2298745.285025679</v>
      </c>
      <c r="H23" s="1">
        <f t="shared" si="0"/>
        <v>1838996.2280205432</v>
      </c>
      <c r="J23" s="1" t="s">
        <v>249</v>
      </c>
      <c r="K23" s="1">
        <v>14233</v>
      </c>
      <c r="L23" s="1">
        <v>11984.333333333334</v>
      </c>
      <c r="M23" s="1">
        <f>MIN(K23:L23)</f>
        <v>11984.333333333334</v>
      </c>
      <c r="O23" s="135"/>
    </row>
    <row r="24" spans="2:15" ht="15">
      <c r="B24" s="1" t="s">
        <v>250</v>
      </c>
      <c r="C24" s="1">
        <f>+M24</f>
        <v>12292.666666666666</v>
      </c>
      <c r="D24" s="1">
        <v>15073.6938372934</v>
      </c>
      <c r="E24" s="1">
        <f>+D24-C24</f>
        <v>2781.027170626734</v>
      </c>
      <c r="F24" s="1">
        <v>294.107881536598</v>
      </c>
      <c r="G24" s="1">
        <f>IF(E24&lt;0,0,E24*F24*3*0.95)</f>
        <v>2331077.727498931</v>
      </c>
      <c r="H24" s="1">
        <f t="shared" si="0"/>
        <v>1864862.1819991448</v>
      </c>
      <c r="J24" s="1" t="s">
        <v>250</v>
      </c>
      <c r="K24" s="1">
        <v>14112</v>
      </c>
      <c r="L24" s="1">
        <v>12292.666666666666</v>
      </c>
      <c r="M24" s="1">
        <f>MIN(K24:L24)</f>
        <v>12292.666666666666</v>
      </c>
      <c r="O24" s="135"/>
    </row>
    <row r="25" spans="2:8" ht="15">
      <c r="B25" s="5" t="s">
        <v>7</v>
      </c>
      <c r="C25" s="5"/>
      <c r="D25" s="5"/>
      <c r="E25" s="5"/>
      <c r="F25" s="5"/>
      <c r="G25" s="5"/>
      <c r="H25" s="5">
        <f>SUM(H21:H24)</f>
        <v>4985407.44761356</v>
      </c>
    </row>
    <row r="29" spans="1:6" ht="15">
      <c r="A29" s="5" t="s">
        <v>411</v>
      </c>
      <c r="B29" s="5"/>
      <c r="C29" s="5" t="s">
        <v>439</v>
      </c>
      <c r="D29" s="5"/>
      <c r="F29" s="1" t="s">
        <v>412</v>
      </c>
    </row>
    <row r="30" spans="1:4" ht="15.75" thickBot="1">
      <c r="A30" s="8" t="s">
        <v>272</v>
      </c>
      <c r="B30" s="9" t="s">
        <v>407</v>
      </c>
      <c r="C30" s="9" t="s">
        <v>7</v>
      </c>
      <c r="D30" s="9" t="s">
        <v>11</v>
      </c>
    </row>
    <row r="31" spans="1:7" ht="15">
      <c r="A31" s="96">
        <v>2009</v>
      </c>
      <c r="B31" s="1">
        <v>11868.2124548337</v>
      </c>
      <c r="D31" s="1">
        <f>+B31+C31</f>
        <v>11868.2124548337</v>
      </c>
      <c r="F31" s="1" t="s">
        <v>409</v>
      </c>
      <c r="G31" s="1">
        <v>309</v>
      </c>
    </row>
    <row r="32" spans="1:7" ht="15">
      <c r="A32" s="96"/>
      <c r="B32" s="1">
        <v>11892.0000000005</v>
      </c>
      <c r="C32" s="1">
        <f>+C35*0.25</f>
        <v>419</v>
      </c>
      <c r="D32" s="1">
        <f aca="true" t="shared" si="1" ref="D32:D44">+B32+C32</f>
        <v>12311.0000000005</v>
      </c>
      <c r="F32" s="1" t="s">
        <v>410</v>
      </c>
      <c r="G32" s="1">
        <v>294</v>
      </c>
    </row>
    <row r="33" spans="1:7" ht="15">
      <c r="A33" s="96"/>
      <c r="B33" s="1">
        <v>11747.9038921262</v>
      </c>
      <c r="C33" s="1">
        <f>+C35*0.5</f>
        <v>838</v>
      </c>
      <c r="D33" s="1">
        <f t="shared" si="1"/>
        <v>12585.9038921262</v>
      </c>
      <c r="F33" s="1" t="s">
        <v>413</v>
      </c>
      <c r="G33" s="105">
        <f>+G32/G31</f>
        <v>0.9514563106796117</v>
      </c>
    </row>
    <row r="34" spans="1:4" ht="15">
      <c r="A34" s="96"/>
      <c r="B34" s="1">
        <v>12500.3450561912</v>
      </c>
      <c r="C34" s="1">
        <f>+C35*0.75</f>
        <v>1257</v>
      </c>
      <c r="D34" s="1">
        <f t="shared" si="1"/>
        <v>13757.3450561912</v>
      </c>
    </row>
    <row r="35" spans="1:4" ht="15">
      <c r="A35" s="96">
        <v>2010</v>
      </c>
      <c r="B35" s="1">
        <v>13418.3232763505</v>
      </c>
      <c r="C35" s="1">
        <v>1676</v>
      </c>
      <c r="D35" s="1">
        <f t="shared" si="1"/>
        <v>15094.3232763505</v>
      </c>
    </row>
    <row r="36" spans="1:4" ht="15">
      <c r="A36" s="96"/>
      <c r="B36" s="1">
        <v>14200.8620869781</v>
      </c>
      <c r="C36" s="1">
        <f>+C35</f>
        <v>1676</v>
      </c>
      <c r="D36" s="1">
        <f t="shared" si="1"/>
        <v>15876.8620869781</v>
      </c>
    </row>
    <row r="37" spans="1:4" ht="15">
      <c r="A37" s="96"/>
      <c r="B37" s="1">
        <v>14727.5709018235</v>
      </c>
      <c r="C37" s="1">
        <f aca="true" t="shared" si="2" ref="C37:C44">+C36</f>
        <v>1676</v>
      </c>
      <c r="D37" s="1">
        <f t="shared" si="1"/>
        <v>16403.5709018235</v>
      </c>
    </row>
    <row r="38" spans="1:4" ht="15">
      <c r="A38" s="96"/>
      <c r="B38" s="1">
        <v>15073.6938372934</v>
      </c>
      <c r="C38" s="1">
        <f t="shared" si="2"/>
        <v>1676</v>
      </c>
      <c r="D38" s="1">
        <f t="shared" si="1"/>
        <v>16749.693837293402</v>
      </c>
    </row>
    <row r="39" spans="1:4" ht="15">
      <c r="A39" s="96">
        <v>2011</v>
      </c>
      <c r="B39" s="1">
        <v>15179.0356002625</v>
      </c>
      <c r="C39" s="1">
        <f t="shared" si="2"/>
        <v>1676</v>
      </c>
      <c r="D39" s="1">
        <f t="shared" si="1"/>
        <v>16855.035600262498</v>
      </c>
    </row>
    <row r="40" spans="1:4" ht="15">
      <c r="A40" s="96"/>
      <c r="B40" s="1">
        <v>14998.4497208869</v>
      </c>
      <c r="C40" s="1">
        <f t="shared" si="2"/>
        <v>1676</v>
      </c>
      <c r="D40" s="1">
        <f t="shared" si="1"/>
        <v>16674.4497208869</v>
      </c>
    </row>
    <row r="41" spans="1:4" ht="15">
      <c r="A41" s="96"/>
      <c r="B41" s="1">
        <v>14959.9974748873</v>
      </c>
      <c r="C41" s="1">
        <f t="shared" si="2"/>
        <v>1676</v>
      </c>
      <c r="D41" s="1">
        <f t="shared" si="1"/>
        <v>16635.9974748873</v>
      </c>
    </row>
    <row r="42" spans="1:4" ht="15">
      <c r="A42" s="96"/>
      <c r="B42" s="1">
        <v>14553.6792462922</v>
      </c>
      <c r="C42" s="1">
        <f t="shared" si="2"/>
        <v>1676</v>
      </c>
      <c r="D42" s="1">
        <f t="shared" si="1"/>
        <v>16229.6792462922</v>
      </c>
    </row>
    <row r="43" spans="1:4" ht="15">
      <c r="A43" s="96">
        <v>2012</v>
      </c>
      <c r="B43" s="1">
        <v>14042.019254728</v>
      </c>
      <c r="C43" s="1">
        <f t="shared" si="2"/>
        <v>1676</v>
      </c>
      <c r="D43" s="1">
        <f t="shared" si="1"/>
        <v>15718.019254728</v>
      </c>
    </row>
    <row r="44" spans="1:4" ht="15">
      <c r="A44" s="96"/>
      <c r="B44" s="1">
        <v>13500.2616166012</v>
      </c>
      <c r="C44" s="1">
        <f t="shared" si="2"/>
        <v>1676</v>
      </c>
      <c r="D44" s="1">
        <f t="shared" si="1"/>
        <v>15176.2616166012</v>
      </c>
    </row>
    <row r="45" spans="1:4" ht="15">
      <c r="A45" s="96"/>
      <c r="B45" s="1">
        <v>12928.4063319119</v>
      </c>
      <c r="C45" s="1">
        <f>+C44</f>
        <v>1676</v>
      </c>
      <c r="D45" s="1">
        <f>+B45+C45</f>
        <v>14604.4063319119</v>
      </c>
    </row>
    <row r="46" spans="1:4" ht="15">
      <c r="A46" s="96"/>
      <c r="B46" s="1">
        <v>12476.9416334729</v>
      </c>
      <c r="C46" s="1">
        <f>+C45</f>
        <v>1676</v>
      </c>
      <c r="D46" s="1">
        <f>+B46+C46</f>
        <v>14152.9416334729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12.77734375" style="55" customWidth="1"/>
    <col min="2" max="4" width="12.5546875" style="55" customWidth="1"/>
    <col min="5" max="6" width="11.3359375" style="55" customWidth="1"/>
    <col min="7" max="7" width="11.77734375" style="55" customWidth="1"/>
    <col min="8" max="12" width="11.3359375" style="55" customWidth="1"/>
    <col min="13" max="13" width="10.99609375" style="55" customWidth="1"/>
    <col min="14" max="20" width="10.21484375" style="55" customWidth="1"/>
    <col min="21" max="22" width="8.88671875" style="55" customWidth="1"/>
    <col min="23" max="23" width="11.4453125" style="55" customWidth="1"/>
    <col min="24" max="24" width="9.99609375" style="55" bestFit="1" customWidth="1"/>
    <col min="25" max="25" width="11.6640625" style="55" customWidth="1"/>
    <col min="26" max="16384" width="8.88671875" style="55" customWidth="1"/>
  </cols>
  <sheetData>
    <row r="1" ht="15.75">
      <c r="A1" s="54" t="s">
        <v>455</v>
      </c>
    </row>
    <row r="3" spans="1:4" ht="15.75" thickBot="1">
      <c r="A3" s="56" t="s">
        <v>131</v>
      </c>
      <c r="B3" s="56"/>
      <c r="C3" s="57" t="s">
        <v>150</v>
      </c>
      <c r="D3" s="57" t="s">
        <v>151</v>
      </c>
    </row>
    <row r="5" spans="1:4" ht="15">
      <c r="A5" s="58" t="s">
        <v>153</v>
      </c>
      <c r="C5" s="55">
        <v>150000000</v>
      </c>
      <c r="D5" s="55">
        <v>150000000</v>
      </c>
    </row>
    <row r="6" spans="1:4" ht="15">
      <c r="A6" s="55" t="s">
        <v>148</v>
      </c>
      <c r="C6" s="55">
        <v>-4500000</v>
      </c>
      <c r="D6" s="55">
        <v>-4500000</v>
      </c>
    </row>
    <row r="7" spans="1:4" ht="15">
      <c r="A7" s="59" t="s">
        <v>149</v>
      </c>
      <c r="B7" s="59"/>
      <c r="C7" s="59">
        <f>+C5+C6</f>
        <v>145500000</v>
      </c>
      <c r="D7" s="59">
        <f>+D5+D6</f>
        <v>145500000</v>
      </c>
    </row>
    <row r="8" spans="1:4" ht="15">
      <c r="A8" s="81"/>
      <c r="B8" s="81"/>
      <c r="C8" s="81"/>
      <c r="D8" s="81"/>
    </row>
    <row r="9" ht="15">
      <c r="A9" s="137" t="s">
        <v>414</v>
      </c>
    </row>
    <row r="10" spans="1:4" ht="15">
      <c r="A10" s="160" t="s">
        <v>149</v>
      </c>
      <c r="C10" s="55">
        <f>+C7*0.75</f>
        <v>109125000</v>
      </c>
      <c r="D10" s="55">
        <f>+D7*0.75</f>
        <v>109125000</v>
      </c>
    </row>
    <row r="11" spans="1:4" ht="15">
      <c r="A11" s="55" t="s">
        <v>152</v>
      </c>
      <c r="C11" s="60">
        <f>+G27</f>
        <v>0.006602680018769354</v>
      </c>
      <c r="D11" s="60">
        <f>+C11</f>
        <v>0.006602680018769354</v>
      </c>
    </row>
    <row r="12" spans="1:4" ht="15">
      <c r="A12" s="55" t="s">
        <v>14</v>
      </c>
      <c r="C12" s="55">
        <f>+C10*C11</f>
        <v>720517.4570482058</v>
      </c>
      <c r="D12" s="55">
        <f>+D10*D11</f>
        <v>720517.4570482058</v>
      </c>
    </row>
    <row r="13" spans="7:13" ht="15">
      <c r="G13" s="81"/>
      <c r="H13" s="81"/>
      <c r="I13" s="163"/>
      <c r="J13" s="163"/>
      <c r="K13" s="163"/>
      <c r="L13" s="164"/>
      <c r="M13" s="164"/>
    </row>
    <row r="14" ht="15">
      <c r="A14" s="137" t="s">
        <v>415</v>
      </c>
    </row>
    <row r="15" spans="1:4" ht="15">
      <c r="A15" s="160" t="s">
        <v>149</v>
      </c>
      <c r="C15" s="55">
        <f>+C7*0.25</f>
        <v>36375000</v>
      </c>
      <c r="D15" s="55">
        <f>+D7*0.25</f>
        <v>36375000</v>
      </c>
    </row>
    <row r="16" spans="1:4" ht="15">
      <c r="A16" s="55" t="s">
        <v>152</v>
      </c>
      <c r="C16" s="60">
        <f>+I27</f>
        <v>0.003964703785576794</v>
      </c>
      <c r="D16" s="60">
        <f>+C16</f>
        <v>0.003964703785576794</v>
      </c>
    </row>
    <row r="17" spans="1:4" ht="15">
      <c r="A17" s="55" t="s">
        <v>14</v>
      </c>
      <c r="C17" s="55">
        <f>+C7*C16*0.25</f>
        <v>144216.10020035587</v>
      </c>
      <c r="D17" s="55">
        <f>+D7*D16*0.25</f>
        <v>144216.10020035587</v>
      </c>
    </row>
    <row r="19" spans="3:5" ht="15">
      <c r="C19" s="61" t="s">
        <v>6</v>
      </c>
      <c r="D19" s="61" t="s">
        <v>15</v>
      </c>
      <c r="E19" s="61" t="s">
        <v>231</v>
      </c>
    </row>
    <row r="20" spans="3:10" ht="15">
      <c r="C20" s="55">
        <f>(+C12+C17)*0.75</f>
        <v>648550.1679364212</v>
      </c>
      <c r="D20" s="55">
        <f>+(C12+C17)*0.25+(D12+D17)*0.75</f>
        <v>864733.5572485616</v>
      </c>
      <c r="E20" s="55">
        <f>+(D12+D17)*0.25</f>
        <v>216183.3893121404</v>
      </c>
      <c r="I20" s="61"/>
      <c r="J20" s="60"/>
    </row>
    <row r="21" spans="9:10" ht="15">
      <c r="I21" s="61"/>
      <c r="J21" s="60"/>
    </row>
    <row r="22" spans="9:10" ht="15">
      <c r="I22" s="61"/>
      <c r="J22" s="60"/>
    </row>
    <row r="23" spans="9:10" ht="15">
      <c r="I23" s="61"/>
      <c r="J23" s="60"/>
    </row>
    <row r="24" spans="1:10" ht="15.75" thickBot="1">
      <c r="A24" s="56" t="s">
        <v>131</v>
      </c>
      <c r="B24" s="56"/>
      <c r="C24" s="57" t="s">
        <v>72</v>
      </c>
      <c r="D24" s="57" t="s">
        <v>73</v>
      </c>
      <c r="E24" s="57" t="s">
        <v>74</v>
      </c>
      <c r="F24" s="57" t="s">
        <v>75</v>
      </c>
      <c r="G24" s="57" t="s">
        <v>76</v>
      </c>
      <c r="I24" s="165" t="s">
        <v>438</v>
      </c>
      <c r="J24" s="60"/>
    </row>
    <row r="25" spans="1:10" ht="15">
      <c r="A25" s="55" t="s">
        <v>436</v>
      </c>
      <c r="C25" s="55">
        <f>+B92</f>
        <v>23857607</v>
      </c>
      <c r="D25" s="55">
        <f>+C92</f>
        <v>25717830</v>
      </c>
      <c r="E25" s="55">
        <f>+D92</f>
        <v>26672294</v>
      </c>
      <c r="F25" s="55">
        <f>+E92</f>
        <v>26468563</v>
      </c>
      <c r="G25" s="55">
        <f>+F92</f>
        <v>28408010</v>
      </c>
      <c r="I25" s="55">
        <f>+G25-C25</f>
        <v>4550403</v>
      </c>
      <c r="J25" s="60"/>
    </row>
    <row r="26" spans="1:10" ht="15">
      <c r="A26" s="55" t="s">
        <v>437</v>
      </c>
      <c r="C26" s="55">
        <f>+B56</f>
        <v>169528</v>
      </c>
      <c r="D26" s="55">
        <f>+C56</f>
        <v>177782</v>
      </c>
      <c r="E26" s="55">
        <f>+D56</f>
        <v>183071</v>
      </c>
      <c r="F26" s="55">
        <f>+E56</f>
        <v>182407</v>
      </c>
      <c r="G26" s="55">
        <f>+F56</f>
        <v>187569</v>
      </c>
      <c r="I26" s="55">
        <f>+G26-C26</f>
        <v>18041</v>
      </c>
      <c r="J26" s="60"/>
    </row>
    <row r="27" spans="1:10" ht="15.75" thickBot="1">
      <c r="A27" s="56" t="s">
        <v>152</v>
      </c>
      <c r="B27" s="56"/>
      <c r="C27" s="161">
        <v>0.007105825827376568</v>
      </c>
      <c r="D27" s="161">
        <v>0.00691279163133126</v>
      </c>
      <c r="E27" s="161">
        <v>0.006863714084735269</v>
      </c>
      <c r="F27" s="162">
        <v>0.0068914583689337425</v>
      </c>
      <c r="G27" s="162">
        <v>0.006602680018769354</v>
      </c>
      <c r="I27" s="161">
        <f>+I26/I25</f>
        <v>0.003964703785576794</v>
      </c>
      <c r="J27" s="60"/>
    </row>
    <row r="28" spans="9:10" ht="15">
      <c r="I28" s="61"/>
      <c r="J28" s="60"/>
    </row>
    <row r="29" spans="9:10" ht="15">
      <c r="I29" s="61"/>
      <c r="J29" s="60"/>
    </row>
    <row r="30" spans="9:10" ht="15">
      <c r="I30" s="61"/>
      <c r="J30" s="60"/>
    </row>
    <row r="31" spans="9:10" ht="15">
      <c r="I31" s="61"/>
      <c r="J31" s="60"/>
    </row>
    <row r="32" spans="9:10" ht="15">
      <c r="I32" s="61"/>
      <c r="J32" s="60"/>
    </row>
    <row r="33" spans="9:10" ht="15">
      <c r="I33" s="61"/>
      <c r="J33" s="60"/>
    </row>
    <row r="34" spans="1:10" ht="14.25" customHeight="1">
      <c r="A34" s="64"/>
      <c r="J34" s="73"/>
    </row>
    <row r="35" spans="1:10" ht="14.25" customHeight="1">
      <c r="A35" s="80" t="s">
        <v>69</v>
      </c>
      <c r="B35" s="59"/>
      <c r="C35" s="59"/>
      <c r="D35" s="59"/>
      <c r="E35" s="59"/>
      <c r="F35" s="59"/>
      <c r="J35" s="73"/>
    </row>
    <row r="36" spans="1:10" ht="14.25" customHeight="1">
      <c r="A36" s="81" t="s">
        <v>70</v>
      </c>
      <c r="B36" s="81"/>
      <c r="C36" s="81"/>
      <c r="D36" s="81"/>
      <c r="E36" s="81"/>
      <c r="F36" s="81"/>
      <c r="J36" s="73"/>
    </row>
    <row r="37" spans="1:10" ht="14.25" customHeight="1" thickBot="1">
      <c r="A37" s="69" t="s">
        <v>71</v>
      </c>
      <c r="B37" s="70" t="s">
        <v>72</v>
      </c>
      <c r="C37" s="70" t="s">
        <v>73</v>
      </c>
      <c r="D37" s="70" t="s">
        <v>74</v>
      </c>
      <c r="E37" s="70" t="s">
        <v>75</v>
      </c>
      <c r="F37" s="70" t="s">
        <v>76</v>
      </c>
      <c r="G37" s="64"/>
      <c r="J37" s="73"/>
    </row>
    <row r="38" spans="6:10" ht="14.25" customHeight="1">
      <c r="F38" s="55" t="s">
        <v>77</v>
      </c>
      <c r="G38" s="64"/>
      <c r="J38" s="73"/>
    </row>
    <row r="39" spans="1:10" ht="14.25" customHeight="1">
      <c r="A39" s="55" t="s">
        <v>78</v>
      </c>
      <c r="B39" s="55">
        <v>497591</v>
      </c>
      <c r="C39" s="55">
        <v>558596</v>
      </c>
      <c r="D39" s="55">
        <v>546684</v>
      </c>
      <c r="E39" s="55">
        <v>545955</v>
      </c>
      <c r="F39" s="55">
        <v>571591</v>
      </c>
      <c r="J39" s="73"/>
    </row>
    <row r="40" spans="1:10" ht="14.25" customHeight="1">
      <c r="A40" s="55" t="s">
        <v>79</v>
      </c>
      <c r="B40" s="55">
        <v>49323</v>
      </c>
      <c r="C40" s="55">
        <v>55567</v>
      </c>
      <c r="D40" s="55">
        <v>57153</v>
      </c>
      <c r="E40" s="55">
        <v>56181</v>
      </c>
      <c r="F40" s="55">
        <v>56977</v>
      </c>
      <c r="J40" s="73"/>
    </row>
    <row r="41" spans="1:10" ht="14.25" customHeight="1">
      <c r="A41" s="55" t="s">
        <v>80</v>
      </c>
      <c r="B41" s="55">
        <v>529556</v>
      </c>
      <c r="C41" s="55">
        <v>550291</v>
      </c>
      <c r="D41" s="55">
        <v>540782</v>
      </c>
      <c r="E41" s="55">
        <v>544688</v>
      </c>
      <c r="F41" s="55">
        <v>627660</v>
      </c>
      <c r="J41" s="73"/>
    </row>
    <row r="42" spans="1:10" ht="14.25" customHeight="1">
      <c r="A42" s="55" t="s">
        <v>81</v>
      </c>
      <c r="B42" s="55">
        <v>346441</v>
      </c>
      <c r="C42" s="55">
        <v>373752</v>
      </c>
      <c r="D42" s="55">
        <v>384889</v>
      </c>
      <c r="E42" s="55">
        <v>379768</v>
      </c>
      <c r="F42" s="55">
        <v>377883</v>
      </c>
      <c r="J42" s="73"/>
    </row>
    <row r="43" spans="1:10" ht="14.25" customHeight="1">
      <c r="A43" s="55" t="s">
        <v>82</v>
      </c>
      <c r="B43" s="55">
        <v>1859486</v>
      </c>
      <c r="C43" s="55">
        <v>1992024</v>
      </c>
      <c r="D43" s="55">
        <v>1999656</v>
      </c>
      <c r="E43" s="55">
        <v>2048185</v>
      </c>
      <c r="F43" s="55">
        <v>2220127</v>
      </c>
      <c r="J43" s="73"/>
    </row>
    <row r="44" spans="1:10" ht="14.25" customHeight="1">
      <c r="A44" s="55" t="s">
        <v>83</v>
      </c>
      <c r="B44" s="55">
        <v>241780</v>
      </c>
      <c r="C44" s="55">
        <v>245926</v>
      </c>
      <c r="D44" s="55">
        <v>251385</v>
      </c>
      <c r="E44" s="55">
        <v>250704</v>
      </c>
      <c r="F44" s="55">
        <v>252933</v>
      </c>
      <c r="J44" s="73"/>
    </row>
    <row r="45" spans="1:10" ht="14.25" customHeight="1">
      <c r="A45" s="55" t="s">
        <v>84</v>
      </c>
      <c r="B45" s="55">
        <v>195980</v>
      </c>
      <c r="C45" s="55">
        <v>204146</v>
      </c>
      <c r="D45" s="55">
        <v>210288</v>
      </c>
      <c r="E45" s="55">
        <v>212562</v>
      </c>
      <c r="F45" s="55">
        <v>225383</v>
      </c>
      <c r="J45" s="73"/>
    </row>
    <row r="46" spans="1:10" ht="14.25" customHeight="1">
      <c r="A46" s="55" t="s">
        <v>85</v>
      </c>
      <c r="B46" s="55">
        <v>55642</v>
      </c>
      <c r="C46" s="55">
        <v>61586</v>
      </c>
      <c r="D46" s="55">
        <v>65698</v>
      </c>
      <c r="E46" s="55">
        <v>67185</v>
      </c>
      <c r="F46" s="55">
        <v>74429</v>
      </c>
      <c r="J46" s="73"/>
    </row>
    <row r="47" spans="1:10" ht="14.25" customHeight="1">
      <c r="A47" s="55" t="s">
        <v>86</v>
      </c>
      <c r="B47" s="55">
        <v>88655</v>
      </c>
      <c r="C47" s="55">
        <v>88799</v>
      </c>
      <c r="D47" s="55">
        <v>89168</v>
      </c>
      <c r="E47" s="55">
        <v>86519</v>
      </c>
      <c r="F47" s="55">
        <v>89442</v>
      </c>
      <c r="J47" s="73"/>
    </row>
    <row r="48" spans="1:6" ht="14.25" customHeight="1">
      <c r="A48" s="55" t="s">
        <v>87</v>
      </c>
      <c r="B48" s="55">
        <v>1202227</v>
      </c>
      <c r="C48" s="55">
        <v>1381804</v>
      </c>
      <c r="D48" s="55">
        <v>1417749</v>
      </c>
      <c r="E48" s="55">
        <v>1232803</v>
      </c>
      <c r="F48" s="55">
        <v>1454928</v>
      </c>
    </row>
    <row r="49" spans="1:6" ht="14.25" customHeight="1">
      <c r="A49" s="55" t="s">
        <v>88</v>
      </c>
      <c r="B49" s="55">
        <v>867148</v>
      </c>
      <c r="C49" s="55">
        <v>921427</v>
      </c>
      <c r="D49" s="55">
        <v>946812</v>
      </c>
      <c r="E49" s="55">
        <v>950038</v>
      </c>
      <c r="F49" s="55">
        <v>1021155</v>
      </c>
    </row>
    <row r="50" spans="1:6" ht="14.25" customHeight="1">
      <c r="A50" s="55" t="s">
        <v>89</v>
      </c>
      <c r="B50" s="55">
        <v>25725</v>
      </c>
      <c r="C50" s="55">
        <v>27277</v>
      </c>
      <c r="D50" s="55">
        <v>27724</v>
      </c>
      <c r="E50" s="55">
        <v>26614</v>
      </c>
      <c r="F50" s="55">
        <v>27874</v>
      </c>
    </row>
    <row r="51" spans="1:6" ht="14.25" customHeight="1">
      <c r="A51" s="55" t="s">
        <v>90</v>
      </c>
      <c r="B51" s="55">
        <v>98589</v>
      </c>
      <c r="C51" s="55">
        <v>93548</v>
      </c>
      <c r="D51" s="55">
        <v>87942</v>
      </c>
      <c r="E51" s="55">
        <v>89629</v>
      </c>
      <c r="F51" s="55">
        <v>96551</v>
      </c>
    </row>
    <row r="52" spans="1:6" ht="14.25" customHeight="1">
      <c r="A52" s="55" t="s">
        <v>91</v>
      </c>
      <c r="B52" s="55">
        <v>91395</v>
      </c>
      <c r="C52" s="55">
        <v>93441</v>
      </c>
      <c r="D52" s="55">
        <v>91106</v>
      </c>
      <c r="E52" s="55">
        <v>87068</v>
      </c>
      <c r="F52" s="55">
        <v>100198</v>
      </c>
    </row>
    <row r="53" spans="1:6" ht="14.25" customHeight="1">
      <c r="A53" s="55" t="s">
        <v>92</v>
      </c>
      <c r="B53" s="55">
        <v>1069596</v>
      </c>
      <c r="C53" s="55">
        <v>1158271</v>
      </c>
      <c r="D53" s="55">
        <v>1225093</v>
      </c>
      <c r="E53" s="55">
        <v>1246400</v>
      </c>
      <c r="F53" s="55">
        <v>1299443</v>
      </c>
    </row>
    <row r="54" spans="1:6" ht="14.25" customHeight="1">
      <c r="A54" s="55" t="s">
        <v>93</v>
      </c>
      <c r="B54" s="55">
        <v>526324</v>
      </c>
      <c r="C54" s="55">
        <v>556285</v>
      </c>
      <c r="D54" s="55">
        <v>574696</v>
      </c>
      <c r="E54" s="55">
        <v>587156</v>
      </c>
      <c r="F54" s="55">
        <v>623415</v>
      </c>
    </row>
    <row r="55" spans="1:6" ht="14.25" customHeight="1">
      <c r="A55" s="55" t="s">
        <v>94</v>
      </c>
      <c r="B55" s="55">
        <v>179179</v>
      </c>
      <c r="C55" s="55">
        <v>206696</v>
      </c>
      <c r="D55" s="55">
        <v>225717</v>
      </c>
      <c r="E55" s="55">
        <v>238349</v>
      </c>
      <c r="F55" s="55">
        <v>256303</v>
      </c>
    </row>
    <row r="56" spans="1:9" ht="14.25" customHeight="1">
      <c r="A56" s="55" t="s">
        <v>12</v>
      </c>
      <c r="B56" s="55">
        <v>169528</v>
      </c>
      <c r="C56" s="55">
        <v>177782</v>
      </c>
      <c r="D56" s="55">
        <v>183071</v>
      </c>
      <c r="E56" s="55">
        <v>182407</v>
      </c>
      <c r="F56" s="55">
        <v>187569</v>
      </c>
      <c r="G56" s="66"/>
      <c r="I56" s="93"/>
    </row>
    <row r="57" spans="1:6" ht="14.25" customHeight="1">
      <c r="A57" s="55" t="s">
        <v>95</v>
      </c>
      <c r="B57" s="55">
        <v>544744</v>
      </c>
      <c r="C57" s="55">
        <v>570277</v>
      </c>
      <c r="D57" s="55">
        <v>589102</v>
      </c>
      <c r="E57" s="55">
        <v>602022</v>
      </c>
      <c r="F57" s="55">
        <v>633194</v>
      </c>
    </row>
    <row r="58" spans="1:6" ht="14.25" customHeight="1">
      <c r="A58" s="55" t="s">
        <v>96</v>
      </c>
      <c r="B58" s="55">
        <v>705700</v>
      </c>
      <c r="C58" s="55">
        <v>807896</v>
      </c>
      <c r="D58" s="55">
        <v>829882</v>
      </c>
      <c r="E58" s="55">
        <v>650357</v>
      </c>
      <c r="F58" s="55">
        <v>790733</v>
      </c>
    </row>
    <row r="59" spans="1:6" ht="14.25" customHeight="1">
      <c r="A59" s="55" t="s">
        <v>97</v>
      </c>
      <c r="B59" s="55">
        <v>141929</v>
      </c>
      <c r="C59" s="55">
        <v>152910</v>
      </c>
      <c r="D59" s="55">
        <v>160294</v>
      </c>
      <c r="E59" s="55">
        <v>162602</v>
      </c>
      <c r="F59" s="55">
        <v>173039</v>
      </c>
    </row>
    <row r="60" spans="1:6" ht="14.25" customHeight="1">
      <c r="A60" s="55" t="s">
        <v>98</v>
      </c>
      <c r="B60" s="55">
        <v>273872</v>
      </c>
      <c r="C60" s="55">
        <v>288943</v>
      </c>
      <c r="D60" s="55">
        <v>305395</v>
      </c>
      <c r="E60" s="55">
        <v>317825</v>
      </c>
      <c r="F60" s="55">
        <v>359985</v>
      </c>
    </row>
    <row r="61" spans="1:6" ht="14.25" customHeight="1">
      <c r="A61" s="55" t="s">
        <v>99</v>
      </c>
      <c r="B61" s="55">
        <v>334939</v>
      </c>
      <c r="C61" s="55">
        <v>368122</v>
      </c>
      <c r="D61" s="55">
        <v>431518</v>
      </c>
      <c r="E61" s="55">
        <v>456192</v>
      </c>
      <c r="F61" s="55">
        <v>505782</v>
      </c>
    </row>
    <row r="62" spans="1:6" ht="14.25" customHeight="1">
      <c r="A62" s="55" t="s">
        <v>100</v>
      </c>
      <c r="B62" s="55">
        <v>943713</v>
      </c>
      <c r="C62" s="55">
        <v>1047594</v>
      </c>
      <c r="D62" s="55">
        <v>1133793</v>
      </c>
      <c r="E62" s="55">
        <v>1204409</v>
      </c>
      <c r="F62" s="55">
        <v>1256373</v>
      </c>
    </row>
    <row r="63" spans="1:6" ht="14.25" customHeight="1">
      <c r="A63" s="55" t="s">
        <v>101</v>
      </c>
      <c r="B63" s="55">
        <v>247465</v>
      </c>
      <c r="C63" s="55">
        <v>259937</v>
      </c>
      <c r="D63" s="55">
        <v>263986</v>
      </c>
      <c r="E63" s="55">
        <v>276414</v>
      </c>
      <c r="F63" s="55">
        <v>293918</v>
      </c>
    </row>
    <row r="64" spans="1:6" ht="14.25" customHeight="1">
      <c r="A64" s="55" t="s">
        <v>102</v>
      </c>
      <c r="B64" s="55">
        <v>376864</v>
      </c>
      <c r="C64" s="55">
        <v>434958</v>
      </c>
      <c r="D64" s="55">
        <v>447710</v>
      </c>
      <c r="E64" s="55">
        <v>426116</v>
      </c>
      <c r="F64" s="55">
        <v>447181</v>
      </c>
    </row>
    <row r="65" spans="1:6" ht="14.25" customHeight="1">
      <c r="A65" s="55" t="s">
        <v>103</v>
      </c>
      <c r="B65" s="55">
        <v>699616</v>
      </c>
      <c r="C65" s="55">
        <v>766425</v>
      </c>
      <c r="D65" s="55">
        <v>796350</v>
      </c>
      <c r="E65" s="55">
        <v>823915</v>
      </c>
      <c r="F65" s="55">
        <v>888564</v>
      </c>
    </row>
    <row r="66" spans="1:6" ht="14.25" customHeight="1">
      <c r="A66" s="55" t="s">
        <v>104</v>
      </c>
      <c r="B66" s="55">
        <v>77478</v>
      </c>
      <c r="C66" s="55">
        <v>80870</v>
      </c>
      <c r="D66" s="55">
        <v>81567</v>
      </c>
      <c r="E66" s="55">
        <v>79969</v>
      </c>
      <c r="F66" s="55">
        <v>80407</v>
      </c>
    </row>
    <row r="67" spans="1:6" ht="14.25" customHeight="1">
      <c r="A67" s="55" t="s">
        <v>105</v>
      </c>
      <c r="B67" s="55">
        <v>113900</v>
      </c>
      <c r="C67" s="55">
        <v>117415</v>
      </c>
      <c r="D67" s="55">
        <v>119683</v>
      </c>
      <c r="E67" s="55">
        <v>120634</v>
      </c>
      <c r="F67" s="55">
        <v>120809</v>
      </c>
    </row>
    <row r="68" spans="1:6" ht="14.25" customHeight="1">
      <c r="A68" s="55" t="s">
        <v>106</v>
      </c>
      <c r="B68" s="55">
        <v>120275</v>
      </c>
      <c r="C68" s="55">
        <v>121707</v>
      </c>
      <c r="D68" s="55">
        <v>117920</v>
      </c>
      <c r="E68" s="55">
        <v>122224</v>
      </c>
      <c r="F68" s="55">
        <v>144494</v>
      </c>
    </row>
    <row r="69" spans="1:6" ht="14.25" customHeight="1">
      <c r="A69" s="55" t="s">
        <v>107</v>
      </c>
      <c r="B69" s="55">
        <v>48449</v>
      </c>
      <c r="C69" s="55">
        <v>52310</v>
      </c>
      <c r="D69" s="55">
        <v>56338</v>
      </c>
      <c r="E69" s="55">
        <v>59101</v>
      </c>
      <c r="F69" s="55">
        <v>63583</v>
      </c>
    </row>
    <row r="70" spans="1:6" ht="14.25" customHeight="1">
      <c r="A70" s="55" t="s">
        <v>108</v>
      </c>
      <c r="B70" s="55">
        <v>368695</v>
      </c>
      <c r="C70" s="55">
        <v>392416</v>
      </c>
      <c r="D70" s="55">
        <v>405667</v>
      </c>
      <c r="E70" s="55">
        <v>414503</v>
      </c>
      <c r="F70" s="55">
        <v>437860</v>
      </c>
    </row>
    <row r="71" spans="1:6" ht="14.25" customHeight="1">
      <c r="A71" s="55" t="s">
        <v>109</v>
      </c>
      <c r="B71" s="55">
        <v>222716</v>
      </c>
      <c r="C71" s="55">
        <v>240637</v>
      </c>
      <c r="D71" s="55">
        <v>244672</v>
      </c>
      <c r="E71" s="55">
        <v>233918</v>
      </c>
      <c r="F71" s="55">
        <v>239959</v>
      </c>
    </row>
    <row r="72" spans="1:6" ht="14.25" customHeight="1">
      <c r="A72" s="55" t="s">
        <v>110</v>
      </c>
      <c r="B72" s="55">
        <v>1598143</v>
      </c>
      <c r="C72" s="55">
        <v>1754861</v>
      </c>
      <c r="D72" s="55">
        <v>1785914</v>
      </c>
      <c r="E72" s="55">
        <v>1801984</v>
      </c>
      <c r="F72" s="55">
        <v>1952991</v>
      </c>
    </row>
    <row r="73" spans="1:6" ht="14.25" customHeight="1">
      <c r="A73" s="55" t="s">
        <v>111</v>
      </c>
      <c r="B73" s="55">
        <v>747274</v>
      </c>
      <c r="C73" s="55">
        <v>799747</v>
      </c>
      <c r="D73" s="55">
        <v>854407</v>
      </c>
      <c r="E73" s="55">
        <v>882946</v>
      </c>
      <c r="F73" s="55">
        <v>946978</v>
      </c>
    </row>
    <row r="74" spans="1:6" ht="14.25" customHeight="1">
      <c r="A74" s="55" t="s">
        <v>112</v>
      </c>
      <c r="B74" s="55">
        <v>41421</v>
      </c>
      <c r="C74" s="55">
        <v>42204</v>
      </c>
      <c r="D74" s="55">
        <v>42576</v>
      </c>
      <c r="E74" s="55">
        <v>45122</v>
      </c>
      <c r="F74" s="55">
        <v>48412</v>
      </c>
    </row>
    <row r="75" spans="1:6" ht="14.25" customHeight="1">
      <c r="A75" s="55" t="s">
        <v>113</v>
      </c>
      <c r="B75" s="55">
        <v>945435</v>
      </c>
      <c r="C75" s="55">
        <v>1007172</v>
      </c>
      <c r="D75" s="55">
        <v>1063920</v>
      </c>
      <c r="E75" s="55">
        <v>1076764</v>
      </c>
      <c r="F75" s="55">
        <v>1150928</v>
      </c>
    </row>
    <row r="76" spans="1:6" ht="14.25" customHeight="1">
      <c r="A76" s="55" t="s">
        <v>114</v>
      </c>
      <c r="B76" s="55">
        <v>411840</v>
      </c>
      <c r="C76" s="55">
        <v>424402</v>
      </c>
      <c r="D76" s="55">
        <v>435519</v>
      </c>
      <c r="E76" s="55">
        <v>421316</v>
      </c>
      <c r="F76" s="55">
        <v>419038</v>
      </c>
    </row>
    <row r="77" spans="1:6" ht="14.25" customHeight="1">
      <c r="A77" s="55" t="s">
        <v>115</v>
      </c>
      <c r="B77" s="55">
        <v>419736</v>
      </c>
      <c r="C77" s="55">
        <v>429358</v>
      </c>
      <c r="D77" s="55">
        <v>434239</v>
      </c>
      <c r="E77" s="55">
        <v>438498</v>
      </c>
      <c r="F77" s="55">
        <v>469315</v>
      </c>
    </row>
    <row r="78" spans="1:6" ht="14.25" customHeight="1">
      <c r="A78" s="55" t="s">
        <v>116</v>
      </c>
      <c r="B78" s="55">
        <v>960941</v>
      </c>
      <c r="C78" s="55">
        <v>1042809</v>
      </c>
      <c r="D78" s="55">
        <v>1092298</v>
      </c>
      <c r="E78" s="55">
        <v>1135146</v>
      </c>
      <c r="F78" s="55">
        <v>1187822</v>
      </c>
    </row>
    <row r="79" spans="1:6" ht="14.25" customHeight="1">
      <c r="A79" s="55" t="s">
        <v>117</v>
      </c>
      <c r="B79" s="55">
        <v>77528</v>
      </c>
      <c r="C79" s="55">
        <v>76085</v>
      </c>
      <c r="D79" s="55">
        <v>73195</v>
      </c>
      <c r="E79" s="55">
        <v>76315</v>
      </c>
      <c r="F79" s="55">
        <v>84868</v>
      </c>
    </row>
    <row r="80" spans="1:6" ht="14.25" customHeight="1">
      <c r="A80" s="55" t="s">
        <v>118</v>
      </c>
      <c r="B80" s="55">
        <v>497218</v>
      </c>
      <c r="C80" s="55">
        <v>521125</v>
      </c>
      <c r="D80" s="55">
        <v>534294</v>
      </c>
      <c r="E80" s="55">
        <v>545293</v>
      </c>
      <c r="F80" s="55">
        <v>589763</v>
      </c>
    </row>
    <row r="81" spans="1:6" ht="14.25" customHeight="1">
      <c r="A81" s="55" t="s">
        <v>119</v>
      </c>
      <c r="B81" s="55">
        <v>53459</v>
      </c>
      <c r="C81" s="55">
        <v>56095</v>
      </c>
      <c r="D81" s="55">
        <v>58466</v>
      </c>
      <c r="E81" s="55">
        <v>60246</v>
      </c>
      <c r="F81" s="55">
        <v>62945</v>
      </c>
    </row>
    <row r="82" spans="1:6" ht="14.25" customHeight="1">
      <c r="A82" s="55" t="s">
        <v>120</v>
      </c>
      <c r="B82" s="55">
        <v>806490</v>
      </c>
      <c r="C82" s="55">
        <v>849703</v>
      </c>
      <c r="D82" s="55">
        <v>870416</v>
      </c>
      <c r="E82" s="55">
        <v>864870</v>
      </c>
      <c r="F82" s="55">
        <v>911253</v>
      </c>
    </row>
    <row r="83" spans="1:6" ht="14.25" customHeight="1">
      <c r="A83" s="55" t="s">
        <v>121</v>
      </c>
      <c r="B83" s="55">
        <v>2258951</v>
      </c>
      <c r="C83" s="55">
        <v>2441975</v>
      </c>
      <c r="D83" s="55">
        <v>2622548</v>
      </c>
      <c r="E83" s="55">
        <v>2422198</v>
      </c>
      <c r="F83" s="55">
        <v>2532047</v>
      </c>
    </row>
    <row r="84" spans="1:6" ht="14.25" customHeight="1">
      <c r="A84" s="55" t="s">
        <v>122</v>
      </c>
      <c r="B84" s="55">
        <v>123411</v>
      </c>
      <c r="C84" s="55">
        <v>133263</v>
      </c>
      <c r="D84" s="55">
        <v>131753</v>
      </c>
      <c r="E84" s="55">
        <v>123475</v>
      </c>
      <c r="F84" s="55">
        <v>134180</v>
      </c>
    </row>
    <row r="85" spans="1:6" ht="14.25" customHeight="1">
      <c r="A85" s="55" t="s">
        <v>123</v>
      </c>
      <c r="B85" s="55">
        <v>42862</v>
      </c>
      <c r="C85" s="55">
        <v>45218</v>
      </c>
      <c r="D85" s="55">
        <v>47677</v>
      </c>
      <c r="E85" s="55">
        <v>52612</v>
      </c>
      <c r="F85" s="55">
        <v>55847</v>
      </c>
    </row>
    <row r="86" spans="1:6" ht="14.25" customHeight="1">
      <c r="A86" s="55" t="s">
        <v>124</v>
      </c>
      <c r="B86" s="55">
        <v>485877</v>
      </c>
      <c r="C86" s="55">
        <v>488481</v>
      </c>
      <c r="D86" s="55">
        <v>506656</v>
      </c>
      <c r="E86" s="55">
        <v>515032</v>
      </c>
      <c r="F86" s="55">
        <v>545079</v>
      </c>
    </row>
    <row r="87" spans="1:6" ht="14.25" customHeight="1">
      <c r="A87" s="55" t="s">
        <v>125</v>
      </c>
      <c r="B87" s="55">
        <v>13372</v>
      </c>
      <c r="C87" s="55">
        <v>13550</v>
      </c>
      <c r="D87" s="55">
        <v>13375</v>
      </c>
      <c r="E87" s="55">
        <v>13281</v>
      </c>
      <c r="F87" s="55">
        <v>13613</v>
      </c>
    </row>
    <row r="88" spans="1:6" ht="14.25" customHeight="1">
      <c r="A88" s="55" t="s">
        <v>126</v>
      </c>
      <c r="B88" s="55">
        <v>453497</v>
      </c>
      <c r="C88" s="55">
        <v>508472</v>
      </c>
      <c r="D88" s="55">
        <v>535768</v>
      </c>
      <c r="E88" s="55">
        <v>536333</v>
      </c>
      <c r="F88" s="55">
        <v>581001</v>
      </c>
    </row>
    <row r="89" spans="1:6" ht="14.25" customHeight="1">
      <c r="A89" s="55" t="s">
        <v>127</v>
      </c>
      <c r="B89" s="55">
        <v>255936</v>
      </c>
      <c r="C89" s="55">
        <v>262442</v>
      </c>
      <c r="D89" s="55">
        <v>267630</v>
      </c>
      <c r="E89" s="55">
        <v>269343</v>
      </c>
      <c r="F89" s="55">
        <v>276800</v>
      </c>
    </row>
    <row r="90" spans="1:6" ht="14.25" customHeight="1">
      <c r="A90" s="55" t="s">
        <v>128</v>
      </c>
      <c r="B90" s="55">
        <v>324047</v>
      </c>
      <c r="C90" s="55">
        <v>345748</v>
      </c>
      <c r="D90" s="55">
        <v>367918</v>
      </c>
      <c r="E90" s="55">
        <v>382770</v>
      </c>
      <c r="F90" s="55">
        <v>422781</v>
      </c>
    </row>
    <row r="91" spans="1:6" ht="14.25" customHeight="1">
      <c r="A91" s="55" t="s">
        <v>129</v>
      </c>
      <c r="B91" s="55">
        <v>25648</v>
      </c>
      <c r="C91" s="55">
        <v>25481</v>
      </c>
      <c r="D91" s="55">
        <v>24236</v>
      </c>
      <c r="E91" s="55">
        <v>22608</v>
      </c>
      <c r="F91" s="55">
        <v>22608</v>
      </c>
    </row>
    <row r="92" spans="1:7" ht="14.25" customHeight="1" thickBot="1">
      <c r="A92" s="56" t="s">
        <v>130</v>
      </c>
      <c r="B92" s="56">
        <v>23857607</v>
      </c>
      <c r="C92" s="56">
        <v>25717830</v>
      </c>
      <c r="D92" s="56">
        <v>26672294</v>
      </c>
      <c r="E92" s="56">
        <v>26468563</v>
      </c>
      <c r="F92" s="56">
        <v>28408010</v>
      </c>
      <c r="G92" s="66"/>
    </row>
    <row r="93" ht="14.25" customHeight="1"/>
    <row r="94" ht="14.25" customHeight="1"/>
    <row r="95" ht="14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7"/>
  <sheetViews>
    <sheetView zoomScale="70" zoomScaleNormal="70" zoomScalePageLayoutView="0" workbookViewId="0" topLeftCell="A1">
      <selection activeCell="A1" sqref="A1"/>
    </sheetView>
  </sheetViews>
  <sheetFormatPr defaultColWidth="8.88671875" defaultRowHeight="15"/>
  <cols>
    <col min="2" max="4" width="10.4453125" style="0" customWidth="1"/>
    <col min="6" max="6" width="11.88671875" style="0" customWidth="1"/>
    <col min="10" max="11" width="11.10546875" style="0" customWidth="1"/>
  </cols>
  <sheetData>
    <row r="1" spans="1:28" ht="15.75">
      <c r="A1" s="62" t="s">
        <v>440</v>
      </c>
      <c r="B1" s="55"/>
      <c r="C1" s="55"/>
      <c r="D1" s="55"/>
      <c r="E1" s="55"/>
      <c r="F1" s="55"/>
      <c r="G1" s="55"/>
      <c r="H1" s="55"/>
      <c r="I1" s="61"/>
      <c r="J1" s="60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5">
      <c r="A2" s="67" t="s">
        <v>161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15">
      <c r="A3" s="58" t="s">
        <v>145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ht="15">
      <c r="A4" s="58" t="s">
        <v>146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ht="15">
      <c r="A5" s="58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5">
      <c r="A6" s="59"/>
      <c r="B6" s="59"/>
      <c r="C6" s="59"/>
      <c r="D6" s="68" t="s">
        <v>155</v>
      </c>
      <c r="E6" s="68"/>
      <c r="F6" s="59"/>
      <c r="G6" s="55"/>
      <c r="H6" s="55"/>
      <c r="I6" s="61"/>
      <c r="J6" s="61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5.75" thickBot="1">
      <c r="A7" s="69" t="s">
        <v>2</v>
      </c>
      <c r="B7" s="70" t="s">
        <v>3</v>
      </c>
      <c r="C7" s="70" t="s">
        <v>4</v>
      </c>
      <c r="D7" s="70" t="s">
        <v>5</v>
      </c>
      <c r="E7" s="70" t="s">
        <v>147</v>
      </c>
      <c r="F7" s="70" t="s">
        <v>9</v>
      </c>
      <c r="G7" s="55"/>
      <c r="H7" s="61"/>
      <c r="I7" s="61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5.75">
      <c r="A8" s="54" t="s">
        <v>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5">
      <c r="A9" s="63" t="s">
        <v>143</v>
      </c>
      <c r="B9" s="55">
        <v>85428</v>
      </c>
      <c r="C9" s="55">
        <v>187375</v>
      </c>
      <c r="D9" s="55">
        <v>200.3828848074792</v>
      </c>
      <c r="E9" s="55">
        <v>12</v>
      </c>
      <c r="F9" s="55">
        <f>+B9*D9*E9</f>
        <v>205419709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5">
      <c r="A10" s="58">
        <v>2009</v>
      </c>
      <c r="B10" s="55">
        <v>91600</v>
      </c>
      <c r="C10" s="55">
        <v>201853</v>
      </c>
      <c r="D10" s="55">
        <v>217.9133042212518</v>
      </c>
      <c r="E10" s="55">
        <v>12</v>
      </c>
      <c r="F10" s="55">
        <f>+B10*D10*E10</f>
        <v>239530303.99999997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 spans="1:28" ht="15">
      <c r="A11" s="58">
        <v>2010</v>
      </c>
      <c r="B11" s="55">
        <v>98000</v>
      </c>
      <c r="C11" s="55">
        <v>216580</v>
      </c>
      <c r="D11" s="55">
        <v>222.24080442176873</v>
      </c>
      <c r="E11" s="55">
        <v>12</v>
      </c>
      <c r="F11" s="55">
        <f>+B11*D11*E11</f>
        <v>261355186.00000003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5">
      <c r="A12" s="58"/>
      <c r="B12" s="65">
        <f>+B10/B9-1</f>
        <v>0.07224797490284218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5.75">
      <c r="A13" s="71" t="s">
        <v>144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5">
      <c r="A14" s="58" t="s">
        <v>156</v>
      </c>
      <c r="B14" s="55"/>
      <c r="C14" s="55"/>
      <c r="D14" s="83" t="s">
        <v>7</v>
      </c>
      <c r="E14" s="55"/>
      <c r="F14" s="61" t="s">
        <v>7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5">
      <c r="A15" s="58">
        <v>2009</v>
      </c>
      <c r="B15" s="55">
        <v>91600</v>
      </c>
      <c r="C15" s="55">
        <v>201853</v>
      </c>
      <c r="D15" s="55">
        <f>+G40</f>
        <v>45.79152695033152</v>
      </c>
      <c r="E15" s="55">
        <v>3</v>
      </c>
      <c r="F15" s="55">
        <f>+B15*D15*E15</f>
        <v>12583511.605951102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15.75" thickBot="1">
      <c r="A16" s="72">
        <v>2010</v>
      </c>
      <c r="B16" s="69">
        <v>98000</v>
      </c>
      <c r="C16" s="69">
        <v>216580</v>
      </c>
      <c r="D16" s="69">
        <f>+D15</f>
        <v>45.79152695033152</v>
      </c>
      <c r="E16" s="69">
        <v>12</v>
      </c>
      <c r="F16" s="69">
        <f>+B16*D16*E16</f>
        <v>53850835.693589866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8">
      <c r="A18" s="64"/>
      <c r="B18" s="55"/>
      <c r="C18" s="55"/>
      <c r="D18" s="55"/>
      <c r="E18" s="55"/>
      <c r="F18" s="55"/>
      <c r="G18" s="55"/>
      <c r="H18" s="55"/>
      <c r="I18" s="55"/>
      <c r="J18" s="73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8">
      <c r="A19" s="64"/>
      <c r="B19" s="55"/>
      <c r="C19" s="55"/>
      <c r="D19" s="55"/>
      <c r="E19" s="55"/>
      <c r="F19" s="55"/>
      <c r="G19" s="55"/>
      <c r="H19" s="55"/>
      <c r="I19" s="55"/>
      <c r="J19" s="73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8">
      <c r="A20" s="64"/>
      <c r="B20" s="55"/>
      <c r="C20" s="55"/>
      <c r="D20" s="55"/>
      <c r="E20" s="55"/>
      <c r="F20" s="55"/>
      <c r="G20" s="55"/>
      <c r="H20" s="55"/>
      <c r="I20" s="55"/>
      <c r="J20" s="73"/>
      <c r="K20" s="55"/>
      <c r="L20" s="55"/>
      <c r="Z20" s="55"/>
      <c r="AA20" s="55"/>
      <c r="AB20" s="55"/>
    </row>
    <row r="21" spans="1:28" ht="15">
      <c r="A21" s="59"/>
      <c r="B21" s="74" t="s">
        <v>159</v>
      </c>
      <c r="C21" s="68" t="s">
        <v>160</v>
      </c>
      <c r="D21" s="68" t="s">
        <v>201</v>
      </c>
      <c r="E21" s="68" t="s">
        <v>202</v>
      </c>
      <c r="F21" s="68" t="s">
        <v>5</v>
      </c>
      <c r="G21" s="68" t="s">
        <v>233</v>
      </c>
      <c r="H21" s="59" t="s">
        <v>6</v>
      </c>
      <c r="I21" s="68" t="s">
        <v>15</v>
      </c>
      <c r="J21" s="68" t="s">
        <v>6</v>
      </c>
      <c r="K21" s="68" t="s">
        <v>15</v>
      </c>
      <c r="L21" s="55"/>
      <c r="Z21" s="55"/>
      <c r="AA21" s="55"/>
      <c r="AB21" s="55"/>
    </row>
    <row r="22" spans="1:28" ht="15.75" thickBot="1">
      <c r="A22" s="70" t="s">
        <v>157</v>
      </c>
      <c r="B22" s="70" t="s">
        <v>158</v>
      </c>
      <c r="C22" s="70" t="s">
        <v>232</v>
      </c>
      <c r="D22" s="70" t="s">
        <v>5</v>
      </c>
      <c r="E22" s="70" t="s">
        <v>5</v>
      </c>
      <c r="F22" s="70" t="s">
        <v>7</v>
      </c>
      <c r="G22" s="70" t="s">
        <v>7</v>
      </c>
      <c r="H22" s="69" t="s">
        <v>147</v>
      </c>
      <c r="I22" s="70" t="s">
        <v>147</v>
      </c>
      <c r="J22" s="75" t="s">
        <v>7</v>
      </c>
      <c r="K22" s="75" t="s">
        <v>7</v>
      </c>
      <c r="L22" s="55"/>
      <c r="Z22" s="55"/>
      <c r="AA22" s="55"/>
      <c r="AB22" s="55"/>
    </row>
    <row r="23" spans="1:28" ht="15">
      <c r="A23" s="55">
        <v>1</v>
      </c>
      <c r="B23" s="55">
        <v>45249</v>
      </c>
      <c r="C23" s="65">
        <f>+B23/B$40</f>
        <v>0.49103102516521796</v>
      </c>
      <c r="D23" s="55">
        <v>176</v>
      </c>
      <c r="E23" s="55">
        <v>199</v>
      </c>
      <c r="F23" s="55">
        <f>+E23-D23</f>
        <v>23</v>
      </c>
      <c r="G23" s="55">
        <f>+C23*F23</f>
        <v>11.293713578800013</v>
      </c>
      <c r="H23" s="55">
        <v>3</v>
      </c>
      <c r="I23" s="55">
        <v>3</v>
      </c>
      <c r="J23" s="55">
        <f>+B23*G23*H23</f>
        <v>1533087.7371813653</v>
      </c>
      <c r="K23" s="55">
        <f>+B23*F23*I23</f>
        <v>3122181</v>
      </c>
      <c r="L23" s="65"/>
      <c r="Z23" s="65"/>
      <c r="AA23" s="55"/>
      <c r="AB23" s="55"/>
    </row>
    <row r="24" spans="1:28" ht="15">
      <c r="A24" s="55">
        <v>2</v>
      </c>
      <c r="B24" s="55">
        <v>15331</v>
      </c>
      <c r="C24" s="65">
        <f aca="true" t="shared" si="0" ref="C24:C39">+B24/B$40</f>
        <v>0.1663682434265499</v>
      </c>
      <c r="D24" s="55">
        <v>323</v>
      </c>
      <c r="E24" s="55">
        <v>366</v>
      </c>
      <c r="F24" s="55">
        <f aca="true" t="shared" si="1" ref="F24:F30">+E24-D24</f>
        <v>43</v>
      </c>
      <c r="G24" s="55">
        <f aca="true" t="shared" si="2" ref="G24:G39">+C24*F24</f>
        <v>7.153834467341646</v>
      </c>
      <c r="H24" s="55">
        <f>+H23</f>
        <v>3</v>
      </c>
      <c r="I24" s="55">
        <f>+I23</f>
        <v>3</v>
      </c>
      <c r="J24" s="55">
        <f aca="true" t="shared" si="3" ref="J24:J39">+B24*G24*H24</f>
        <v>329026.3086564443</v>
      </c>
      <c r="K24" s="55">
        <f aca="true" t="shared" si="4" ref="K24:K39">+B24*F24*I24</f>
        <v>1977699</v>
      </c>
      <c r="L24" s="65"/>
      <c r="Z24" s="55"/>
      <c r="AA24" s="55"/>
      <c r="AB24" s="55"/>
    </row>
    <row r="25" spans="1:28" ht="15">
      <c r="A25" s="55">
        <v>3</v>
      </c>
      <c r="B25" s="55">
        <v>13263</v>
      </c>
      <c r="C25" s="65">
        <f t="shared" si="0"/>
        <v>0.14392681576976918</v>
      </c>
      <c r="D25" s="55">
        <v>463</v>
      </c>
      <c r="E25" s="55">
        <v>525</v>
      </c>
      <c r="F25" s="55">
        <f t="shared" si="1"/>
        <v>62</v>
      </c>
      <c r="G25" s="55">
        <f t="shared" si="2"/>
        <v>8.923462577725688</v>
      </c>
      <c r="H25" s="55">
        <f aca="true" t="shared" si="5" ref="H25:I39">+H24</f>
        <v>3</v>
      </c>
      <c r="I25" s="55">
        <f t="shared" si="5"/>
        <v>3</v>
      </c>
      <c r="J25" s="55">
        <f t="shared" si="3"/>
        <v>355055.6525051274</v>
      </c>
      <c r="K25" s="55">
        <f t="shared" si="4"/>
        <v>2466918</v>
      </c>
      <c r="L25" s="65"/>
      <c r="Z25" s="55"/>
      <c r="AA25" s="55"/>
      <c r="AB25" s="55"/>
    </row>
    <row r="26" spans="1:28" ht="15">
      <c r="A26" s="55">
        <v>4</v>
      </c>
      <c r="B26" s="55">
        <v>9530</v>
      </c>
      <c r="C26" s="65">
        <f t="shared" si="0"/>
        <v>0.10341721739319161</v>
      </c>
      <c r="D26" s="55">
        <v>588</v>
      </c>
      <c r="E26" s="55">
        <v>667</v>
      </c>
      <c r="F26" s="55">
        <f t="shared" si="1"/>
        <v>79</v>
      </c>
      <c r="G26" s="55">
        <f t="shared" si="2"/>
        <v>8.169960174062137</v>
      </c>
      <c r="H26" s="55">
        <f t="shared" si="5"/>
        <v>3</v>
      </c>
      <c r="I26" s="55">
        <f t="shared" si="5"/>
        <v>3</v>
      </c>
      <c r="J26" s="55">
        <f t="shared" si="3"/>
        <v>233579.1613764365</v>
      </c>
      <c r="K26" s="55">
        <f t="shared" si="4"/>
        <v>2258610</v>
      </c>
      <c r="L26" s="65"/>
      <c r="Z26" s="55"/>
      <c r="AA26" s="55"/>
      <c r="AB26" s="55"/>
    </row>
    <row r="27" spans="1:28" ht="15">
      <c r="A27" s="55">
        <v>5</v>
      </c>
      <c r="B27" s="55">
        <v>5115</v>
      </c>
      <c r="C27" s="65">
        <f t="shared" si="0"/>
        <v>0.055506722661718265</v>
      </c>
      <c r="D27" s="55">
        <v>698</v>
      </c>
      <c r="E27" s="55">
        <v>792</v>
      </c>
      <c r="F27" s="55">
        <f t="shared" si="1"/>
        <v>94</v>
      </c>
      <c r="G27" s="55">
        <f t="shared" si="2"/>
        <v>5.217631930201517</v>
      </c>
      <c r="H27" s="55">
        <f t="shared" si="5"/>
        <v>3</v>
      </c>
      <c r="I27" s="55">
        <f t="shared" si="5"/>
        <v>3</v>
      </c>
      <c r="J27" s="55">
        <f t="shared" si="3"/>
        <v>80064.56196894227</v>
      </c>
      <c r="K27" s="55">
        <f t="shared" si="4"/>
        <v>1442430</v>
      </c>
      <c r="L27" s="65"/>
      <c r="Z27" s="55"/>
      <c r="AA27" s="55"/>
      <c r="AB27" s="55"/>
    </row>
    <row r="28" spans="1:28" ht="15">
      <c r="A28" s="55">
        <v>6</v>
      </c>
      <c r="B28" s="55">
        <v>2259</v>
      </c>
      <c r="C28" s="65">
        <f t="shared" si="0"/>
        <v>0.024514112706318977</v>
      </c>
      <c r="D28" s="55">
        <v>838</v>
      </c>
      <c r="E28" s="55">
        <v>951</v>
      </c>
      <c r="F28" s="55">
        <f t="shared" si="1"/>
        <v>113</v>
      </c>
      <c r="G28" s="55">
        <f t="shared" si="2"/>
        <v>2.770094735814044</v>
      </c>
      <c r="H28" s="55">
        <f t="shared" si="5"/>
        <v>3</v>
      </c>
      <c r="I28" s="55">
        <f t="shared" si="5"/>
        <v>3</v>
      </c>
      <c r="J28" s="55">
        <f t="shared" si="3"/>
        <v>18772.93202461178</v>
      </c>
      <c r="K28" s="55">
        <f t="shared" si="4"/>
        <v>765801</v>
      </c>
      <c r="L28" s="65"/>
      <c r="Z28" s="55"/>
      <c r="AA28" s="55"/>
      <c r="AB28" s="55"/>
    </row>
    <row r="29" spans="1:28" ht="15">
      <c r="A29" s="55">
        <v>7</v>
      </c>
      <c r="B29" s="55">
        <v>850</v>
      </c>
      <c r="C29" s="65">
        <f t="shared" si="0"/>
        <v>0.009223991058154551</v>
      </c>
      <c r="D29" s="55">
        <v>926</v>
      </c>
      <c r="E29" s="55">
        <v>1051</v>
      </c>
      <c r="F29" s="55">
        <f t="shared" si="1"/>
        <v>125</v>
      </c>
      <c r="G29" s="55">
        <f t="shared" si="2"/>
        <v>1.152998882269319</v>
      </c>
      <c r="H29" s="55">
        <f t="shared" si="5"/>
        <v>3</v>
      </c>
      <c r="I29" s="55">
        <f t="shared" si="5"/>
        <v>3</v>
      </c>
      <c r="J29" s="55">
        <f t="shared" si="3"/>
        <v>2940.1471497867633</v>
      </c>
      <c r="K29" s="55">
        <f t="shared" si="4"/>
        <v>318750</v>
      </c>
      <c r="L29" s="65"/>
      <c r="Z29" s="55"/>
      <c r="AA29" s="55"/>
      <c r="AB29" s="55"/>
    </row>
    <row r="30" spans="1:28" ht="15">
      <c r="A30" s="55">
        <v>8</v>
      </c>
      <c r="B30" s="55">
        <v>338</v>
      </c>
      <c r="C30" s="65">
        <f t="shared" si="0"/>
        <v>0.003667892914889692</v>
      </c>
      <c r="D30" s="55">
        <v>1058</v>
      </c>
      <c r="E30" s="55">
        <v>1201</v>
      </c>
      <c r="F30" s="55">
        <f t="shared" si="1"/>
        <v>143</v>
      </c>
      <c r="G30" s="55">
        <f t="shared" si="2"/>
        <v>0.5245086868292259</v>
      </c>
      <c r="H30" s="55">
        <f t="shared" si="5"/>
        <v>3</v>
      </c>
      <c r="I30" s="55">
        <f t="shared" si="5"/>
        <v>3</v>
      </c>
      <c r="J30" s="55">
        <f t="shared" si="3"/>
        <v>531.8518084448351</v>
      </c>
      <c r="K30" s="55">
        <f t="shared" si="4"/>
        <v>145002</v>
      </c>
      <c r="L30" s="65"/>
      <c r="Z30" s="55"/>
      <c r="AA30" s="55"/>
      <c r="AB30" s="55"/>
    </row>
    <row r="31" spans="1:28" ht="15">
      <c r="A31" s="55">
        <v>9</v>
      </c>
      <c r="B31" s="55">
        <v>131</v>
      </c>
      <c r="C31" s="65">
        <f t="shared" si="0"/>
        <v>0.0014215797983744072</v>
      </c>
      <c r="D31" s="55"/>
      <c r="E31" s="55"/>
      <c r="F31" s="55">
        <v>149</v>
      </c>
      <c r="G31" s="55">
        <f t="shared" si="2"/>
        <v>0.21181538995778668</v>
      </c>
      <c r="H31" s="55">
        <f t="shared" si="5"/>
        <v>3</v>
      </c>
      <c r="I31" s="55">
        <f t="shared" si="5"/>
        <v>3</v>
      </c>
      <c r="J31" s="55">
        <f t="shared" si="3"/>
        <v>83.24344825341016</v>
      </c>
      <c r="K31" s="55">
        <f t="shared" si="4"/>
        <v>58557</v>
      </c>
      <c r="L31" s="55"/>
      <c r="Z31" s="55"/>
      <c r="AA31" s="55"/>
      <c r="AB31" s="55"/>
    </row>
    <row r="32" spans="1:28" ht="15">
      <c r="A32" s="55">
        <v>10</v>
      </c>
      <c r="B32" s="55">
        <v>50</v>
      </c>
      <c r="C32" s="65">
        <f t="shared" si="0"/>
        <v>0.0005425877093032089</v>
      </c>
      <c r="D32" s="55"/>
      <c r="E32" s="55"/>
      <c r="F32" s="55">
        <f>+F31+149</f>
        <v>298</v>
      </c>
      <c r="G32" s="55">
        <f t="shared" si="2"/>
        <v>0.16169113737235627</v>
      </c>
      <c r="H32" s="55">
        <f t="shared" si="5"/>
        <v>3</v>
      </c>
      <c r="I32" s="55">
        <f t="shared" si="5"/>
        <v>3</v>
      </c>
      <c r="J32" s="55">
        <f t="shared" si="3"/>
        <v>24.25367060585344</v>
      </c>
      <c r="K32" s="55">
        <f t="shared" si="4"/>
        <v>44700</v>
      </c>
      <c r="L32" s="55"/>
      <c r="Z32" s="55"/>
      <c r="AA32" s="55"/>
      <c r="AB32" s="55"/>
    </row>
    <row r="33" spans="1:28" ht="15">
      <c r="A33" s="55">
        <v>11</v>
      </c>
      <c r="B33" s="55">
        <v>20</v>
      </c>
      <c r="C33" s="65">
        <f t="shared" si="0"/>
        <v>0.00021703508372128354</v>
      </c>
      <c r="D33" s="55"/>
      <c r="E33" s="55"/>
      <c r="F33" s="55">
        <f aca="true" t="shared" si="6" ref="F33:F39">+F32+149</f>
        <v>447</v>
      </c>
      <c r="G33" s="55">
        <f t="shared" si="2"/>
        <v>0.09701468242341374</v>
      </c>
      <c r="H33" s="55">
        <f t="shared" si="5"/>
        <v>3</v>
      </c>
      <c r="I33" s="55">
        <f t="shared" si="5"/>
        <v>3</v>
      </c>
      <c r="J33" s="55">
        <f t="shared" si="3"/>
        <v>5.820880945404824</v>
      </c>
      <c r="K33" s="55">
        <f t="shared" si="4"/>
        <v>26820</v>
      </c>
      <c r="L33" s="55"/>
      <c r="Z33" s="55"/>
      <c r="AA33" s="55"/>
      <c r="AB33" s="55"/>
    </row>
    <row r="34" spans="1:28" ht="15">
      <c r="A34" s="55">
        <v>12</v>
      </c>
      <c r="B34" s="55">
        <v>9</v>
      </c>
      <c r="C34" s="65">
        <f t="shared" si="0"/>
        <v>9.76657876745776E-05</v>
      </c>
      <c r="D34" s="55"/>
      <c r="E34" s="55"/>
      <c r="F34" s="55">
        <f t="shared" si="6"/>
        <v>596</v>
      </c>
      <c r="G34" s="55">
        <f t="shared" si="2"/>
        <v>0.05820880945404825</v>
      </c>
      <c r="H34" s="55">
        <f t="shared" si="5"/>
        <v>3</v>
      </c>
      <c r="I34" s="55">
        <f t="shared" si="5"/>
        <v>3</v>
      </c>
      <c r="J34" s="55">
        <f t="shared" si="3"/>
        <v>1.5716378552593027</v>
      </c>
      <c r="K34" s="55">
        <f t="shared" si="4"/>
        <v>16092</v>
      </c>
      <c r="L34" s="55"/>
      <c r="Z34" s="55"/>
      <c r="AA34" s="55"/>
      <c r="AB34" s="55"/>
    </row>
    <row r="35" spans="1:28" ht="15">
      <c r="A35" s="55">
        <v>13</v>
      </c>
      <c r="B35" s="55">
        <v>4</v>
      </c>
      <c r="C35" s="65">
        <f t="shared" si="0"/>
        <v>4.340701674425671E-05</v>
      </c>
      <c r="D35" s="55"/>
      <c r="E35" s="55"/>
      <c r="F35" s="55">
        <f t="shared" si="6"/>
        <v>745</v>
      </c>
      <c r="G35" s="55">
        <f t="shared" si="2"/>
        <v>0.03233822747447125</v>
      </c>
      <c r="H35" s="55">
        <f t="shared" si="5"/>
        <v>3</v>
      </c>
      <c r="I35" s="55">
        <f t="shared" si="5"/>
        <v>3</v>
      </c>
      <c r="J35" s="55">
        <f t="shared" si="3"/>
        <v>0.388058729693655</v>
      </c>
      <c r="K35" s="55">
        <f t="shared" si="4"/>
        <v>8940</v>
      </c>
      <c r="L35" s="55"/>
      <c r="Z35" s="55"/>
      <c r="AA35" s="55"/>
      <c r="AB35" s="55"/>
    </row>
    <row r="36" spans="1:28" ht="15">
      <c r="A36" s="55">
        <v>14</v>
      </c>
      <c r="B36" s="55">
        <v>1</v>
      </c>
      <c r="C36" s="65">
        <f t="shared" si="0"/>
        <v>1.0851754186064178E-05</v>
      </c>
      <c r="D36" s="55"/>
      <c r="E36" s="55"/>
      <c r="F36" s="55">
        <f t="shared" si="6"/>
        <v>894</v>
      </c>
      <c r="G36" s="55">
        <f t="shared" si="2"/>
        <v>0.009701468242341374</v>
      </c>
      <c r="H36" s="55">
        <f t="shared" si="5"/>
        <v>3</v>
      </c>
      <c r="I36" s="55">
        <f t="shared" si="5"/>
        <v>3</v>
      </c>
      <c r="J36" s="55">
        <f t="shared" si="3"/>
        <v>0.029104404727024122</v>
      </c>
      <c r="K36" s="55">
        <f t="shared" si="4"/>
        <v>2682</v>
      </c>
      <c r="L36" s="55"/>
      <c r="Z36" s="55"/>
      <c r="AA36" s="55"/>
      <c r="AB36" s="55"/>
    </row>
    <row r="37" spans="1:28" ht="15">
      <c r="A37" s="55">
        <v>15</v>
      </c>
      <c r="B37" s="55">
        <v>0</v>
      </c>
      <c r="C37" s="65">
        <f t="shared" si="0"/>
        <v>0</v>
      </c>
      <c r="D37" s="55"/>
      <c r="E37" s="55"/>
      <c r="F37" s="55">
        <f t="shared" si="6"/>
        <v>1043</v>
      </c>
      <c r="G37" s="55">
        <f t="shared" si="2"/>
        <v>0</v>
      </c>
      <c r="H37" s="55">
        <f t="shared" si="5"/>
        <v>3</v>
      </c>
      <c r="I37" s="55">
        <f t="shared" si="5"/>
        <v>3</v>
      </c>
      <c r="J37" s="55">
        <f t="shared" si="3"/>
        <v>0</v>
      </c>
      <c r="K37" s="55">
        <f t="shared" si="4"/>
        <v>0</v>
      </c>
      <c r="L37" s="55"/>
      <c r="Z37" s="55"/>
      <c r="AA37" s="55"/>
      <c r="AB37" s="55"/>
    </row>
    <row r="38" spans="1:28" ht="15">
      <c r="A38" s="55">
        <v>16</v>
      </c>
      <c r="B38" s="55">
        <v>0</v>
      </c>
      <c r="C38" s="65">
        <f t="shared" si="0"/>
        <v>0</v>
      </c>
      <c r="D38" s="55"/>
      <c r="E38" s="55"/>
      <c r="F38" s="55">
        <f t="shared" si="6"/>
        <v>1192</v>
      </c>
      <c r="G38" s="55">
        <f t="shared" si="2"/>
        <v>0</v>
      </c>
      <c r="H38" s="55">
        <f t="shared" si="5"/>
        <v>3</v>
      </c>
      <c r="I38" s="55">
        <f t="shared" si="5"/>
        <v>3</v>
      </c>
      <c r="J38" s="55">
        <f t="shared" si="3"/>
        <v>0</v>
      </c>
      <c r="K38" s="55">
        <f t="shared" si="4"/>
        <v>0</v>
      </c>
      <c r="L38" s="55"/>
      <c r="Z38" s="55"/>
      <c r="AA38" s="55"/>
      <c r="AB38" s="55"/>
    </row>
    <row r="39" spans="1:28" ht="15">
      <c r="A39" s="55">
        <v>17</v>
      </c>
      <c r="B39" s="55">
        <v>1</v>
      </c>
      <c r="C39" s="65">
        <f t="shared" si="0"/>
        <v>1.0851754186064178E-05</v>
      </c>
      <c r="D39" s="55"/>
      <c r="E39" s="55"/>
      <c r="F39" s="55">
        <f t="shared" si="6"/>
        <v>1341</v>
      </c>
      <c r="G39" s="55">
        <f t="shared" si="2"/>
        <v>0.014552202363512063</v>
      </c>
      <c r="H39" s="55">
        <f t="shared" si="5"/>
        <v>3</v>
      </c>
      <c r="I39" s="55">
        <f t="shared" si="5"/>
        <v>3</v>
      </c>
      <c r="J39" s="55">
        <f t="shared" si="3"/>
        <v>0.04365660709053619</v>
      </c>
      <c r="K39" s="55">
        <f t="shared" si="4"/>
        <v>4023</v>
      </c>
      <c r="L39" s="55"/>
      <c r="Z39" s="55"/>
      <c r="AA39" s="55"/>
      <c r="AB39" s="55"/>
    </row>
    <row r="40" spans="1:28" ht="15.75" thickBot="1">
      <c r="A40" s="76" t="s">
        <v>11</v>
      </c>
      <c r="B40" s="56">
        <f>SUM(B23:B39)</f>
        <v>92151</v>
      </c>
      <c r="C40" s="94">
        <f>SUM(C23:C39)</f>
        <v>0.9999999999999999</v>
      </c>
      <c r="D40" s="56"/>
      <c r="E40" s="56"/>
      <c r="F40" s="56"/>
      <c r="G40" s="56">
        <f>SUM(G23:G39)</f>
        <v>45.79152695033152</v>
      </c>
      <c r="H40" s="56"/>
      <c r="I40" s="56"/>
      <c r="J40" s="56">
        <f>SUM(J23:J39)</f>
        <v>2553173.7031285604</v>
      </c>
      <c r="K40" s="56">
        <f>SUM(K23:K39)</f>
        <v>12659205</v>
      </c>
      <c r="L40" s="55"/>
      <c r="Z40" s="55"/>
      <c r="AA40" s="55"/>
      <c r="AB40" s="55"/>
    </row>
    <row r="41" spans="1:28" ht="18">
      <c r="A41" s="64"/>
      <c r="B41" s="55"/>
      <c r="C41" s="55"/>
      <c r="D41" s="55"/>
      <c r="E41" s="55"/>
      <c r="F41" s="55"/>
      <c r="G41" s="55"/>
      <c r="H41" s="55"/>
      <c r="I41" s="55"/>
      <c r="J41" s="55"/>
      <c r="K41" s="73"/>
      <c r="L41" s="55"/>
      <c r="Z41" s="55"/>
      <c r="AA41" s="55"/>
      <c r="AB41" s="55"/>
    </row>
    <row r="42" spans="1:28" ht="18">
      <c r="A42" s="64"/>
      <c r="B42" s="55"/>
      <c r="C42" s="55"/>
      <c r="D42" s="55"/>
      <c r="E42" s="55"/>
      <c r="F42" s="55"/>
      <c r="G42" s="55"/>
      <c r="H42" s="55"/>
      <c r="I42" s="55"/>
      <c r="J42" s="55"/>
      <c r="K42" s="73"/>
      <c r="L42" s="55"/>
      <c r="Z42" s="55"/>
      <c r="AA42" s="55"/>
      <c r="AB42" s="55"/>
    </row>
    <row r="43" spans="1:28" ht="15">
      <c r="A43" s="6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ht="15.75">
      <c r="A44" s="77" t="s">
        <v>203</v>
      </c>
      <c r="B44" s="55"/>
      <c r="C44" s="55"/>
      <c r="D44" s="55"/>
      <c r="E44" s="55"/>
      <c r="F44" s="55"/>
      <c r="G44" s="55"/>
      <c r="H44" s="59"/>
      <c r="I44" s="74" t="s">
        <v>237</v>
      </c>
      <c r="J44" s="68" t="s">
        <v>235</v>
      </c>
      <c r="K44" s="68" t="s">
        <v>235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ht="15.75" thickBot="1">
      <c r="A45" s="58" t="s">
        <v>207</v>
      </c>
      <c r="B45" s="55"/>
      <c r="C45" s="55"/>
      <c r="D45" s="55"/>
      <c r="E45" s="55"/>
      <c r="F45" s="55"/>
      <c r="G45" s="55"/>
      <c r="H45" s="69" t="s">
        <v>240</v>
      </c>
      <c r="I45" s="70" t="s">
        <v>236</v>
      </c>
      <c r="J45" s="70" t="s">
        <v>238</v>
      </c>
      <c r="K45" s="70" t="s">
        <v>9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5">
      <c r="A46" s="64" t="s">
        <v>146</v>
      </c>
      <c r="B46" s="55"/>
      <c r="C46" s="55"/>
      <c r="D46" s="55"/>
      <c r="E46" s="55"/>
      <c r="F46" s="55"/>
      <c r="G46" s="55"/>
      <c r="H46" s="55">
        <v>1</v>
      </c>
      <c r="I46" s="55">
        <v>45249</v>
      </c>
      <c r="J46" s="55">
        <v>176</v>
      </c>
      <c r="K46" s="55">
        <f aca="true" t="shared" si="7" ref="K46:K62">+B23*J46</f>
        <v>7963824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ht="15">
      <c r="A47" s="64" t="s">
        <v>206</v>
      </c>
      <c r="B47" s="55"/>
      <c r="C47" s="55"/>
      <c r="D47" s="55"/>
      <c r="E47" s="55"/>
      <c r="F47" s="55"/>
      <c r="G47" s="55"/>
      <c r="H47" s="55">
        <v>2</v>
      </c>
      <c r="I47" s="55">
        <v>15331</v>
      </c>
      <c r="J47" s="55">
        <v>323</v>
      </c>
      <c r="K47" s="55">
        <f t="shared" si="7"/>
        <v>4951913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ht="15">
      <c r="A48" s="64"/>
      <c r="B48" s="55"/>
      <c r="C48" s="55"/>
      <c r="D48" s="55"/>
      <c r="E48" s="55"/>
      <c r="F48" s="55"/>
      <c r="G48" s="55"/>
      <c r="H48" s="55">
        <v>3</v>
      </c>
      <c r="I48" s="55">
        <v>13263</v>
      </c>
      <c r="J48" s="55">
        <v>463</v>
      </c>
      <c r="K48" s="55">
        <f t="shared" si="7"/>
        <v>6140769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1:28" ht="15">
      <c r="A49" s="64" t="s">
        <v>204</v>
      </c>
      <c r="B49" s="55"/>
      <c r="C49" s="55"/>
      <c r="D49" s="55">
        <v>5447</v>
      </c>
      <c r="E49" s="55"/>
      <c r="F49" s="55"/>
      <c r="G49" s="55"/>
      <c r="H49" s="55">
        <v>4</v>
      </c>
      <c r="I49" s="55">
        <v>9530</v>
      </c>
      <c r="J49" s="55">
        <v>588</v>
      </c>
      <c r="K49" s="55">
        <f t="shared" si="7"/>
        <v>5603640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ht="15">
      <c r="A50" s="64" t="s">
        <v>205</v>
      </c>
      <c r="B50" s="55"/>
      <c r="C50" s="55"/>
      <c r="D50" s="55">
        <f>+D49/12</f>
        <v>453.9166666666667</v>
      </c>
      <c r="E50" s="55"/>
      <c r="F50" s="55"/>
      <c r="G50" s="55"/>
      <c r="H50" s="55">
        <v>5</v>
      </c>
      <c r="I50" s="55">
        <v>5115</v>
      </c>
      <c r="J50" s="55">
        <v>698</v>
      </c>
      <c r="K50" s="55">
        <f t="shared" si="7"/>
        <v>3570270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:28" ht="15">
      <c r="A51" s="55" t="s">
        <v>208</v>
      </c>
      <c r="B51" s="55"/>
      <c r="C51" s="55"/>
      <c r="D51" s="65">
        <v>0.07</v>
      </c>
      <c r="E51" s="55"/>
      <c r="F51" s="55"/>
      <c r="G51" s="55"/>
      <c r="H51" s="55">
        <v>6</v>
      </c>
      <c r="I51" s="55">
        <v>2259</v>
      </c>
      <c r="J51" s="55">
        <v>838</v>
      </c>
      <c r="K51" s="55">
        <f t="shared" si="7"/>
        <v>1893042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1:28" ht="15">
      <c r="A52" s="55" t="s">
        <v>209</v>
      </c>
      <c r="B52" s="55"/>
      <c r="C52" s="55"/>
      <c r="D52" s="55">
        <f>+D50*(1+D51)</f>
        <v>485.6908333333334</v>
      </c>
      <c r="E52" s="55"/>
      <c r="F52" s="55"/>
      <c r="G52" s="55"/>
      <c r="H52" s="55">
        <v>7</v>
      </c>
      <c r="I52" s="55">
        <v>850</v>
      </c>
      <c r="J52" s="55">
        <v>926</v>
      </c>
      <c r="K52" s="55">
        <f t="shared" si="7"/>
        <v>787100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:28" ht="15">
      <c r="A53" s="55"/>
      <c r="B53" s="55"/>
      <c r="C53" s="55"/>
      <c r="D53" s="55"/>
      <c r="E53" s="55"/>
      <c r="F53" s="55"/>
      <c r="G53" s="55"/>
      <c r="H53" s="55">
        <v>8</v>
      </c>
      <c r="I53" s="55">
        <v>338</v>
      </c>
      <c r="J53" s="55">
        <v>1058</v>
      </c>
      <c r="K53" s="55">
        <f t="shared" si="7"/>
        <v>357604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ht="15">
      <c r="A54" s="55"/>
      <c r="B54" s="55"/>
      <c r="C54" s="55"/>
      <c r="D54" s="55"/>
      <c r="E54" s="55"/>
      <c r="F54" s="55"/>
      <c r="G54" s="55"/>
      <c r="H54" s="55">
        <v>9</v>
      </c>
      <c r="I54" s="55">
        <v>131</v>
      </c>
      <c r="J54" s="55">
        <v>1190</v>
      </c>
      <c r="K54" s="55">
        <f t="shared" si="7"/>
        <v>155890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28" ht="15.75" thickBot="1">
      <c r="A55" s="56" t="s">
        <v>131</v>
      </c>
      <c r="B55" s="57" t="s">
        <v>6</v>
      </c>
      <c r="C55" s="57" t="s">
        <v>15</v>
      </c>
      <c r="D55" s="57" t="s">
        <v>231</v>
      </c>
      <c r="E55" s="55"/>
      <c r="F55" s="55"/>
      <c r="G55" s="55"/>
      <c r="H55" s="55">
        <v>10</v>
      </c>
      <c r="I55" s="55">
        <v>50</v>
      </c>
      <c r="J55" s="55">
        <v>1322</v>
      </c>
      <c r="K55" s="55">
        <f t="shared" si="7"/>
        <v>66100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 spans="1:28" ht="15">
      <c r="A56" s="64" t="s">
        <v>230</v>
      </c>
      <c r="B56" s="55">
        <f>+F92</f>
        <v>1214.2270833333334</v>
      </c>
      <c r="C56" s="55">
        <f>+R92</f>
        <v>4695.011388888889</v>
      </c>
      <c r="D56" s="55">
        <f>AVERAGE(S91:U91)</f>
        <v>5828.29</v>
      </c>
      <c r="E56" s="55"/>
      <c r="F56" s="55"/>
      <c r="G56" s="55"/>
      <c r="H56" s="55">
        <v>11</v>
      </c>
      <c r="I56" s="55">
        <v>20</v>
      </c>
      <c r="J56" s="55">
        <f>+J55+132</f>
        <v>1454</v>
      </c>
      <c r="K56" s="55">
        <f t="shared" si="7"/>
        <v>29080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1:28" ht="15">
      <c r="A57" s="55" t="s">
        <v>147</v>
      </c>
      <c r="B57" s="55">
        <v>3</v>
      </c>
      <c r="C57" s="55">
        <v>12</v>
      </c>
      <c r="D57" s="55">
        <v>3</v>
      </c>
      <c r="E57" s="55"/>
      <c r="F57" s="55"/>
      <c r="G57" s="55"/>
      <c r="H57" s="55">
        <v>12</v>
      </c>
      <c r="I57" s="55">
        <v>9</v>
      </c>
      <c r="J57" s="55">
        <f aca="true" t="shared" si="8" ref="J57:J62">+J56+132</f>
        <v>1586</v>
      </c>
      <c r="K57" s="55">
        <f t="shared" si="7"/>
        <v>14274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:28" ht="15">
      <c r="A58" s="64" t="s">
        <v>226</v>
      </c>
      <c r="B58" s="55">
        <f>+E23*0.7</f>
        <v>139.29999999999998</v>
      </c>
      <c r="C58" s="55">
        <f>(+E23*(0.25)+D23*(0.75))*0.7</f>
        <v>127.225</v>
      </c>
      <c r="D58" s="55">
        <f>+D23*0.7</f>
        <v>123.19999999999999</v>
      </c>
      <c r="E58" s="55"/>
      <c r="F58" s="55"/>
      <c r="G58" s="55"/>
      <c r="H58" s="55">
        <v>13</v>
      </c>
      <c r="I58" s="55">
        <v>4</v>
      </c>
      <c r="J58" s="55">
        <f t="shared" si="8"/>
        <v>1718</v>
      </c>
      <c r="K58" s="55">
        <f t="shared" si="7"/>
        <v>6872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1:28" ht="15.75" thickBot="1">
      <c r="A59" s="76" t="s">
        <v>46</v>
      </c>
      <c r="B59" s="56">
        <f>+B56*B57*B58</f>
        <v>507425.49812500004</v>
      </c>
      <c r="C59" s="56">
        <f>+C56*C57*C58</f>
        <v>7167873.887416667</v>
      </c>
      <c r="D59" s="56">
        <f>+D56*D57*D58</f>
        <v>2154135.9839999997</v>
      </c>
      <c r="E59" s="55"/>
      <c r="F59" s="55"/>
      <c r="G59" s="55"/>
      <c r="H59" s="55">
        <v>14</v>
      </c>
      <c r="I59" s="55">
        <v>1</v>
      </c>
      <c r="J59" s="55">
        <f t="shared" si="8"/>
        <v>1850</v>
      </c>
      <c r="K59" s="55">
        <f t="shared" si="7"/>
        <v>1850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:28" ht="15">
      <c r="A60" s="64"/>
      <c r="B60" s="55"/>
      <c r="C60" s="55"/>
      <c r="D60" s="55"/>
      <c r="E60" s="55"/>
      <c r="F60" s="55"/>
      <c r="G60" s="55"/>
      <c r="H60" s="55">
        <v>15</v>
      </c>
      <c r="I60" s="55">
        <v>0</v>
      </c>
      <c r="J60" s="55">
        <f t="shared" si="8"/>
        <v>1982</v>
      </c>
      <c r="K60" s="55">
        <f t="shared" si="7"/>
        <v>0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1:28" ht="15">
      <c r="A61" s="64"/>
      <c r="B61" s="55"/>
      <c r="C61" s="55"/>
      <c r="D61" s="55"/>
      <c r="E61" s="55"/>
      <c r="F61" s="55"/>
      <c r="G61" s="55"/>
      <c r="H61" s="55">
        <v>16</v>
      </c>
      <c r="I61" s="55">
        <v>0</v>
      </c>
      <c r="J61" s="55">
        <f t="shared" si="8"/>
        <v>2114</v>
      </c>
      <c r="K61" s="55">
        <f t="shared" si="7"/>
        <v>0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1:28" ht="15">
      <c r="A62" s="64"/>
      <c r="B62" s="55"/>
      <c r="C62" s="55"/>
      <c r="D62" s="55"/>
      <c r="E62" s="55"/>
      <c r="F62" s="55"/>
      <c r="G62" s="55"/>
      <c r="H62" s="55">
        <v>17</v>
      </c>
      <c r="I62" s="55">
        <v>1</v>
      </c>
      <c r="J62" s="55">
        <f t="shared" si="8"/>
        <v>2246</v>
      </c>
      <c r="K62" s="55">
        <f t="shared" si="7"/>
        <v>2246</v>
      </c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:28" ht="15">
      <c r="A63" s="64"/>
      <c r="B63" s="55"/>
      <c r="C63" s="55"/>
      <c r="D63" s="55"/>
      <c r="E63" s="55"/>
      <c r="F63" s="55"/>
      <c r="G63" s="55"/>
      <c r="H63" s="59" t="s">
        <v>11</v>
      </c>
      <c r="I63" s="59">
        <f>SUM(I46:I62)</f>
        <v>92151</v>
      </c>
      <c r="J63" s="59">
        <f>+K63/I63</f>
        <v>342.31287777669263</v>
      </c>
      <c r="K63" s="59">
        <f>SUM(K46:K62)</f>
        <v>31544474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:28" ht="15">
      <c r="A64" s="64"/>
      <c r="B64" s="55"/>
      <c r="C64" s="55"/>
      <c r="D64" s="55"/>
      <c r="E64" s="55"/>
      <c r="F64" s="55"/>
      <c r="G64" s="55"/>
      <c r="H64" s="81" t="s">
        <v>241</v>
      </c>
      <c r="I64" s="81">
        <f>+I63</f>
        <v>92151</v>
      </c>
      <c r="J64" s="81">
        <f>+K64/I64</f>
        <v>239.9279761478443</v>
      </c>
      <c r="K64" s="84">
        <v>22109602.93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1:28" ht="15.75" thickBot="1">
      <c r="A65" s="64"/>
      <c r="B65" s="55"/>
      <c r="C65" s="55"/>
      <c r="D65" s="55"/>
      <c r="E65" s="55"/>
      <c r="F65" s="55"/>
      <c r="G65" s="55"/>
      <c r="H65" s="69" t="s">
        <v>239</v>
      </c>
      <c r="I65" s="69"/>
      <c r="J65" s="85">
        <f>+K64/K63</f>
        <v>0.7009025710810711</v>
      </c>
      <c r="K65" s="69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 ht="18">
      <c r="A66" s="64"/>
      <c r="B66" s="55"/>
      <c r="C66" s="55"/>
      <c r="D66" s="55"/>
      <c r="E66" s="55"/>
      <c r="F66" s="55"/>
      <c r="G66" s="55"/>
      <c r="H66" s="55"/>
      <c r="I66" s="55"/>
      <c r="J66" s="73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1:28" ht="18">
      <c r="A67" s="64"/>
      <c r="B67" s="55"/>
      <c r="C67" s="55"/>
      <c r="D67" s="55"/>
      <c r="E67" s="55"/>
      <c r="F67" s="55"/>
      <c r="G67" s="55"/>
      <c r="H67" s="55"/>
      <c r="I67" s="55"/>
      <c r="J67" s="73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1:28" ht="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1:28" ht="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1:28" ht="15.75">
      <c r="A70" s="59"/>
      <c r="B70" s="59"/>
      <c r="C70" s="78" t="s">
        <v>229</v>
      </c>
      <c r="D70" s="59"/>
      <c r="E70" s="59"/>
      <c r="F70" s="59"/>
      <c r="G70" s="59"/>
      <c r="H70" s="59"/>
      <c r="I70" s="59"/>
      <c r="J70" s="59"/>
      <c r="K70" s="59"/>
      <c r="L70" s="59"/>
      <c r="M70" s="138" t="s">
        <v>416</v>
      </c>
      <c r="N70" s="59"/>
      <c r="O70" s="59"/>
      <c r="P70" s="59"/>
      <c r="Q70" s="59"/>
      <c r="R70" s="59"/>
      <c r="S70" s="59"/>
      <c r="T70" s="59"/>
      <c r="U70" s="59"/>
      <c r="V70" s="55"/>
      <c r="W70" s="55"/>
      <c r="X70" s="55"/>
      <c r="Y70" s="55"/>
      <c r="Z70" s="55"/>
      <c r="AA70" s="55"/>
      <c r="AB70" s="55"/>
    </row>
    <row r="71" spans="1:28" ht="15.75" thickBot="1">
      <c r="A71" s="69" t="s">
        <v>228</v>
      </c>
      <c r="B71" s="69" t="s">
        <v>227</v>
      </c>
      <c r="C71" s="70" t="s">
        <v>211</v>
      </c>
      <c r="D71" s="70" t="s">
        <v>212</v>
      </c>
      <c r="E71" s="70" t="s">
        <v>213</v>
      </c>
      <c r="F71" s="70" t="s">
        <v>214</v>
      </c>
      <c r="G71" s="70" t="s">
        <v>215</v>
      </c>
      <c r="H71" s="70" t="s">
        <v>216</v>
      </c>
      <c r="I71" s="70" t="s">
        <v>217</v>
      </c>
      <c r="J71" s="70" t="s">
        <v>218</v>
      </c>
      <c r="K71" s="70" t="s">
        <v>219</v>
      </c>
      <c r="L71" s="70" t="s">
        <v>220</v>
      </c>
      <c r="M71" s="70" t="s">
        <v>221</v>
      </c>
      <c r="N71" s="70" t="s">
        <v>222</v>
      </c>
      <c r="O71" s="70" t="s">
        <v>211</v>
      </c>
      <c r="P71" s="70" t="s">
        <v>212</v>
      </c>
      <c r="Q71" s="70" t="s">
        <v>213</v>
      </c>
      <c r="R71" s="70" t="s">
        <v>214</v>
      </c>
      <c r="S71" s="70" t="s">
        <v>215</v>
      </c>
      <c r="T71" s="70" t="s">
        <v>216</v>
      </c>
      <c r="U71" s="70" t="s">
        <v>217</v>
      </c>
      <c r="V71" s="55"/>
      <c r="W71" s="55"/>
      <c r="X71" s="55"/>
      <c r="Y71" s="55"/>
      <c r="Z71" s="55"/>
      <c r="AA71" s="55"/>
      <c r="AB71" s="55"/>
    </row>
    <row r="72" spans="1:28" ht="15">
      <c r="A72" s="63" t="s">
        <v>210</v>
      </c>
      <c r="B72" s="55" t="s">
        <v>211</v>
      </c>
      <c r="C72" s="55">
        <f>+D52</f>
        <v>485.6908333333334</v>
      </c>
      <c r="D72" s="55">
        <f>+C72</f>
        <v>485.6908333333334</v>
      </c>
      <c r="E72" s="55">
        <f>+D72</f>
        <v>485.6908333333334</v>
      </c>
      <c r="F72" s="55">
        <f>+E72</f>
        <v>485.6908333333334</v>
      </c>
      <c r="G72" s="55">
        <f>+F72</f>
        <v>485.6908333333334</v>
      </c>
      <c r="H72" s="55">
        <f>+G72</f>
        <v>485.6908333333334</v>
      </c>
      <c r="I72" s="55">
        <f>+H72</f>
        <v>485.6908333333334</v>
      </c>
      <c r="J72" s="55">
        <f>+I72</f>
        <v>485.6908333333334</v>
      </c>
      <c r="K72" s="55">
        <f>+J72</f>
        <v>485.6908333333334</v>
      </c>
      <c r="L72" s="55">
        <f>+K72</f>
        <v>485.6908333333334</v>
      </c>
      <c r="M72" s="55">
        <f>+L72</f>
        <v>485.6908333333334</v>
      </c>
      <c r="N72" s="55">
        <f>+M72</f>
        <v>485.6908333333334</v>
      </c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</row>
    <row r="73" spans="1:28" ht="15">
      <c r="A73" s="55"/>
      <c r="B73" s="55" t="s">
        <v>212</v>
      </c>
      <c r="C73" s="55"/>
      <c r="D73" s="55">
        <f>+C72</f>
        <v>485.6908333333334</v>
      </c>
      <c r="E73" s="55">
        <f>+D73</f>
        <v>485.6908333333334</v>
      </c>
      <c r="F73" s="55">
        <f>+E73</f>
        <v>485.6908333333334</v>
      </c>
      <c r="G73" s="55">
        <f>+F73</f>
        <v>485.6908333333334</v>
      </c>
      <c r="H73" s="55">
        <f>+G73</f>
        <v>485.6908333333334</v>
      </c>
      <c r="I73" s="55">
        <f>+H73</f>
        <v>485.6908333333334</v>
      </c>
      <c r="J73" s="55">
        <f>+I73</f>
        <v>485.6908333333334</v>
      </c>
      <c r="K73" s="55">
        <f>+J73</f>
        <v>485.6908333333334</v>
      </c>
      <c r="L73" s="55">
        <f>+K73</f>
        <v>485.6908333333334</v>
      </c>
      <c r="M73" s="55">
        <f>+L73</f>
        <v>485.6908333333334</v>
      </c>
      <c r="N73" s="55">
        <f>+M73</f>
        <v>485.6908333333334</v>
      </c>
      <c r="O73" s="55">
        <f>+N73</f>
        <v>485.6908333333334</v>
      </c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1:28" ht="15">
      <c r="A74" s="55"/>
      <c r="B74" s="55" t="s">
        <v>213</v>
      </c>
      <c r="C74" s="55"/>
      <c r="D74" s="55"/>
      <c r="E74" s="55">
        <f>+D73</f>
        <v>485.6908333333334</v>
      </c>
      <c r="F74" s="55">
        <f>+E74</f>
        <v>485.6908333333334</v>
      </c>
      <c r="G74" s="55">
        <f>+F74</f>
        <v>485.6908333333334</v>
      </c>
      <c r="H74" s="55">
        <f>+G74</f>
        <v>485.6908333333334</v>
      </c>
      <c r="I74" s="55">
        <f>+H74</f>
        <v>485.6908333333334</v>
      </c>
      <c r="J74" s="55">
        <f>+I74</f>
        <v>485.6908333333334</v>
      </c>
      <c r="K74" s="55">
        <f>+J74</f>
        <v>485.6908333333334</v>
      </c>
      <c r="L74" s="55">
        <f>+K74</f>
        <v>485.6908333333334</v>
      </c>
      <c r="M74" s="55">
        <f>+L74</f>
        <v>485.6908333333334</v>
      </c>
      <c r="N74" s="55">
        <f>+M74</f>
        <v>485.6908333333334</v>
      </c>
      <c r="O74" s="55">
        <f>+N74</f>
        <v>485.6908333333334</v>
      </c>
      <c r="P74" s="55">
        <f>+O74</f>
        <v>485.6908333333334</v>
      </c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28" ht="15">
      <c r="A75" s="55"/>
      <c r="B75" s="55" t="s">
        <v>214</v>
      </c>
      <c r="C75" s="55"/>
      <c r="D75" s="55"/>
      <c r="E75" s="55"/>
      <c r="F75" s="55">
        <f>+E74</f>
        <v>485.6908333333334</v>
      </c>
      <c r="G75" s="55">
        <f>+F75</f>
        <v>485.6908333333334</v>
      </c>
      <c r="H75" s="55">
        <f>+G75</f>
        <v>485.6908333333334</v>
      </c>
      <c r="I75" s="55">
        <f>+H75</f>
        <v>485.6908333333334</v>
      </c>
      <c r="J75" s="55">
        <f>+I75</f>
        <v>485.6908333333334</v>
      </c>
      <c r="K75" s="55">
        <f>+J75</f>
        <v>485.6908333333334</v>
      </c>
      <c r="L75" s="55">
        <f>+K75</f>
        <v>485.6908333333334</v>
      </c>
      <c r="M75" s="55">
        <f>+L75</f>
        <v>485.6908333333334</v>
      </c>
      <c r="N75" s="55">
        <f>+M75</f>
        <v>485.6908333333334</v>
      </c>
      <c r="O75" s="55">
        <f>+N75</f>
        <v>485.6908333333334</v>
      </c>
      <c r="P75" s="55">
        <f>+O75</f>
        <v>485.6908333333334</v>
      </c>
      <c r="Q75" s="55">
        <f>+P75</f>
        <v>485.6908333333334</v>
      </c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spans="1:28" ht="15">
      <c r="A76" s="55"/>
      <c r="B76" s="55" t="s">
        <v>215</v>
      </c>
      <c r="C76" s="55"/>
      <c r="D76" s="55"/>
      <c r="E76" s="55"/>
      <c r="F76" s="55"/>
      <c r="G76" s="55">
        <f>+F75</f>
        <v>485.6908333333334</v>
      </c>
      <c r="H76" s="55">
        <f>+G76</f>
        <v>485.6908333333334</v>
      </c>
      <c r="I76" s="55">
        <f>+H76</f>
        <v>485.6908333333334</v>
      </c>
      <c r="J76" s="55">
        <f>+I76</f>
        <v>485.6908333333334</v>
      </c>
      <c r="K76" s="55">
        <f>+J76</f>
        <v>485.6908333333334</v>
      </c>
      <c r="L76" s="55">
        <f>+K76</f>
        <v>485.6908333333334</v>
      </c>
      <c r="M76" s="55">
        <f>+L76</f>
        <v>485.6908333333334</v>
      </c>
      <c r="N76" s="55">
        <f>+M76</f>
        <v>485.6908333333334</v>
      </c>
      <c r="O76" s="55">
        <f>+N76</f>
        <v>485.6908333333334</v>
      </c>
      <c r="P76" s="55">
        <f>+O76</f>
        <v>485.6908333333334</v>
      </c>
      <c r="Q76" s="55">
        <f>+P76</f>
        <v>485.6908333333334</v>
      </c>
      <c r="R76" s="55">
        <f>+Q76</f>
        <v>485.6908333333334</v>
      </c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 spans="1:28" ht="15">
      <c r="A77" s="55"/>
      <c r="B77" s="55" t="s">
        <v>216</v>
      </c>
      <c r="C77" s="55"/>
      <c r="D77" s="55"/>
      <c r="E77" s="55"/>
      <c r="F77" s="55"/>
      <c r="G77" s="55"/>
      <c r="H77" s="55">
        <f>+G76</f>
        <v>485.6908333333334</v>
      </c>
      <c r="I77" s="55">
        <f>+H77</f>
        <v>485.6908333333334</v>
      </c>
      <c r="J77" s="55">
        <f>+I77</f>
        <v>485.6908333333334</v>
      </c>
      <c r="K77" s="55">
        <f>+J77</f>
        <v>485.6908333333334</v>
      </c>
      <c r="L77" s="55">
        <f>+K77</f>
        <v>485.6908333333334</v>
      </c>
      <c r="M77" s="55">
        <f>+L77</f>
        <v>485.6908333333334</v>
      </c>
      <c r="N77" s="55">
        <f>+M77</f>
        <v>485.6908333333334</v>
      </c>
      <c r="O77" s="55">
        <f>+N77</f>
        <v>485.6908333333334</v>
      </c>
      <c r="P77" s="55">
        <f>+O77</f>
        <v>485.6908333333334</v>
      </c>
      <c r="Q77" s="55">
        <f>+P77</f>
        <v>485.6908333333334</v>
      </c>
      <c r="R77" s="55">
        <f>+Q77</f>
        <v>485.6908333333334</v>
      </c>
      <c r="S77" s="55">
        <f>+R77</f>
        <v>485.6908333333334</v>
      </c>
      <c r="T77" s="55"/>
      <c r="U77" s="55"/>
      <c r="V77" s="55"/>
      <c r="W77" s="55"/>
      <c r="X77" s="55"/>
      <c r="Y77" s="55"/>
      <c r="Z77" s="55"/>
      <c r="AA77" s="55"/>
      <c r="AB77" s="55"/>
    </row>
    <row r="78" spans="1:28" ht="15">
      <c r="A78" s="55"/>
      <c r="B78" s="55" t="s">
        <v>217</v>
      </c>
      <c r="C78" s="55"/>
      <c r="D78" s="55"/>
      <c r="E78" s="55"/>
      <c r="F78" s="55"/>
      <c r="G78" s="55"/>
      <c r="H78" s="55"/>
      <c r="I78" s="55">
        <f>+H77</f>
        <v>485.6908333333334</v>
      </c>
      <c r="J78" s="55">
        <f>+I78</f>
        <v>485.6908333333334</v>
      </c>
      <c r="K78" s="55">
        <f>+J78</f>
        <v>485.6908333333334</v>
      </c>
      <c r="L78" s="55">
        <f>+K78</f>
        <v>485.6908333333334</v>
      </c>
      <c r="M78" s="55">
        <f>+L78</f>
        <v>485.6908333333334</v>
      </c>
      <c r="N78" s="55">
        <f>+M78</f>
        <v>485.6908333333334</v>
      </c>
      <c r="O78" s="55">
        <f>+N78</f>
        <v>485.6908333333334</v>
      </c>
      <c r="P78" s="55">
        <f>+O78</f>
        <v>485.6908333333334</v>
      </c>
      <c r="Q78" s="55">
        <f>+P78</f>
        <v>485.6908333333334</v>
      </c>
      <c r="R78" s="55">
        <f>+Q78</f>
        <v>485.6908333333334</v>
      </c>
      <c r="S78" s="55">
        <f>+R78</f>
        <v>485.6908333333334</v>
      </c>
      <c r="T78" s="55">
        <f>+S78</f>
        <v>485.6908333333334</v>
      </c>
      <c r="U78" s="55"/>
      <c r="V78" s="55"/>
      <c r="W78" s="55"/>
      <c r="X78" s="55"/>
      <c r="Y78" s="55"/>
      <c r="Z78" s="55"/>
      <c r="AA78" s="55"/>
      <c r="AB78" s="55"/>
    </row>
    <row r="79" spans="1:28" ht="15">
      <c r="A79" s="55"/>
      <c r="B79" s="55" t="s">
        <v>218</v>
      </c>
      <c r="C79" s="55"/>
      <c r="D79" s="55"/>
      <c r="E79" s="55"/>
      <c r="F79" s="55"/>
      <c r="G79" s="55"/>
      <c r="H79" s="55"/>
      <c r="I79" s="55"/>
      <c r="J79" s="55">
        <f>+I78</f>
        <v>485.6908333333334</v>
      </c>
      <c r="K79" s="55">
        <f>+J79</f>
        <v>485.6908333333334</v>
      </c>
      <c r="L79" s="55">
        <f>+K79</f>
        <v>485.6908333333334</v>
      </c>
      <c r="M79" s="55">
        <f>+L79</f>
        <v>485.6908333333334</v>
      </c>
      <c r="N79" s="55">
        <f>+M79</f>
        <v>485.6908333333334</v>
      </c>
      <c r="O79" s="55">
        <f>+N79</f>
        <v>485.6908333333334</v>
      </c>
      <c r="P79" s="55">
        <f>+O79</f>
        <v>485.6908333333334</v>
      </c>
      <c r="Q79" s="55">
        <f>+P79</f>
        <v>485.6908333333334</v>
      </c>
      <c r="R79" s="55">
        <f>+Q79</f>
        <v>485.6908333333334</v>
      </c>
      <c r="S79" s="55">
        <f>+R79</f>
        <v>485.6908333333334</v>
      </c>
      <c r="T79" s="55">
        <f>+S79</f>
        <v>485.6908333333334</v>
      </c>
      <c r="U79" s="55">
        <f aca="true" t="shared" si="9" ref="U79:U88">+T79</f>
        <v>485.6908333333334</v>
      </c>
      <c r="V79" s="55"/>
      <c r="W79" s="55"/>
      <c r="X79" s="55"/>
      <c r="Y79" s="55"/>
      <c r="Z79" s="55"/>
      <c r="AA79" s="55"/>
      <c r="AB79" s="55"/>
    </row>
    <row r="80" spans="1:28" ht="15">
      <c r="A80" s="55"/>
      <c r="B80" s="55" t="s">
        <v>219</v>
      </c>
      <c r="C80" s="55"/>
      <c r="D80" s="55"/>
      <c r="E80" s="55"/>
      <c r="F80" s="55"/>
      <c r="G80" s="55"/>
      <c r="H80" s="55"/>
      <c r="I80" s="55"/>
      <c r="J80" s="55"/>
      <c r="K80" s="55">
        <f>+J79</f>
        <v>485.6908333333334</v>
      </c>
      <c r="L80" s="55">
        <f>+K80</f>
        <v>485.6908333333334</v>
      </c>
      <c r="M80" s="55">
        <f>+L80</f>
        <v>485.6908333333334</v>
      </c>
      <c r="N80" s="55">
        <f>+M80</f>
        <v>485.6908333333334</v>
      </c>
      <c r="O80" s="55">
        <f>+N80</f>
        <v>485.6908333333334</v>
      </c>
      <c r="P80" s="55">
        <f>+O80</f>
        <v>485.6908333333334</v>
      </c>
      <c r="Q80" s="55">
        <f>+P80</f>
        <v>485.6908333333334</v>
      </c>
      <c r="R80" s="55">
        <f>+Q80</f>
        <v>485.6908333333334</v>
      </c>
      <c r="S80" s="55">
        <f>+R80</f>
        <v>485.6908333333334</v>
      </c>
      <c r="T80" s="55">
        <f>+S80</f>
        <v>485.6908333333334</v>
      </c>
      <c r="U80" s="55">
        <f t="shared" si="9"/>
        <v>485.6908333333334</v>
      </c>
      <c r="V80" s="55"/>
      <c r="W80" s="55"/>
      <c r="X80" s="55"/>
      <c r="Y80" s="55"/>
      <c r="Z80" s="55"/>
      <c r="AA80" s="55"/>
      <c r="AB80" s="55"/>
    </row>
    <row r="81" spans="1:28" ht="15">
      <c r="A81" s="55"/>
      <c r="B81" s="55" t="s">
        <v>220</v>
      </c>
      <c r="C81" s="55"/>
      <c r="D81" s="55"/>
      <c r="E81" s="55"/>
      <c r="F81" s="55"/>
      <c r="G81" s="55"/>
      <c r="H81" s="55"/>
      <c r="I81" s="55"/>
      <c r="J81" s="55"/>
      <c r="K81" s="55"/>
      <c r="L81" s="55">
        <f>+K80</f>
        <v>485.6908333333334</v>
      </c>
      <c r="M81" s="55">
        <f>+L81</f>
        <v>485.6908333333334</v>
      </c>
      <c r="N81" s="55">
        <f>+M81</f>
        <v>485.6908333333334</v>
      </c>
      <c r="O81" s="55">
        <f>+N81</f>
        <v>485.6908333333334</v>
      </c>
      <c r="P81" s="55">
        <f>+O81</f>
        <v>485.6908333333334</v>
      </c>
      <c r="Q81" s="55">
        <f>+P81</f>
        <v>485.6908333333334</v>
      </c>
      <c r="R81" s="55">
        <f>+Q81</f>
        <v>485.6908333333334</v>
      </c>
      <c r="S81" s="55">
        <f>+R81</f>
        <v>485.6908333333334</v>
      </c>
      <c r="T81" s="55">
        <f>+S81</f>
        <v>485.6908333333334</v>
      </c>
      <c r="U81" s="55">
        <f t="shared" si="9"/>
        <v>485.6908333333334</v>
      </c>
      <c r="V81" s="55"/>
      <c r="W81" s="55"/>
      <c r="X81" s="55"/>
      <c r="Y81" s="55"/>
      <c r="Z81" s="55"/>
      <c r="AA81" s="55"/>
      <c r="AB81" s="55"/>
    </row>
    <row r="82" spans="1:28" ht="15">
      <c r="A82" s="63" t="s">
        <v>223</v>
      </c>
      <c r="B82" s="55" t="s">
        <v>221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>
        <f>+L81</f>
        <v>485.6908333333334</v>
      </c>
      <c r="N82" s="55">
        <f>+M82</f>
        <v>485.6908333333334</v>
      </c>
      <c r="O82" s="55">
        <f>+N82</f>
        <v>485.6908333333334</v>
      </c>
      <c r="P82" s="55">
        <f>+O82</f>
        <v>485.6908333333334</v>
      </c>
      <c r="Q82" s="55">
        <f>+P82</f>
        <v>485.6908333333334</v>
      </c>
      <c r="R82" s="55">
        <f>+Q82</f>
        <v>485.6908333333334</v>
      </c>
      <c r="S82" s="55">
        <f>+R82</f>
        <v>485.6908333333334</v>
      </c>
      <c r="T82" s="55">
        <f>+S82</f>
        <v>485.6908333333334</v>
      </c>
      <c r="U82" s="55">
        <f t="shared" si="9"/>
        <v>485.6908333333334</v>
      </c>
      <c r="V82" s="55"/>
      <c r="W82" s="55"/>
      <c r="X82" s="55"/>
      <c r="Y82" s="55"/>
      <c r="Z82" s="55"/>
      <c r="AA82" s="55"/>
      <c r="AB82" s="55"/>
    </row>
    <row r="83" spans="1:28" ht="15">
      <c r="A83" s="55"/>
      <c r="B83" s="55" t="s">
        <v>222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>
        <f>+M82</f>
        <v>485.6908333333334</v>
      </c>
      <c r="O83" s="55">
        <f>+N83</f>
        <v>485.6908333333334</v>
      </c>
      <c r="P83" s="55">
        <f>+O83</f>
        <v>485.6908333333334</v>
      </c>
      <c r="Q83" s="55">
        <f>+P83</f>
        <v>485.6908333333334</v>
      </c>
      <c r="R83" s="55">
        <f>+Q83</f>
        <v>485.6908333333334</v>
      </c>
      <c r="S83" s="55">
        <f>+R83</f>
        <v>485.6908333333334</v>
      </c>
      <c r="T83" s="55">
        <f>+S83</f>
        <v>485.6908333333334</v>
      </c>
      <c r="U83" s="55">
        <f t="shared" si="9"/>
        <v>485.6908333333334</v>
      </c>
      <c r="V83" s="55"/>
      <c r="W83" s="55"/>
      <c r="X83" s="55"/>
      <c r="Y83" s="55"/>
      <c r="Z83" s="55"/>
      <c r="AA83" s="55"/>
      <c r="AB83" s="55"/>
    </row>
    <row r="84" spans="1:28" ht="15">
      <c r="A84" s="55"/>
      <c r="B84" s="55" t="s">
        <v>211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>
        <f>+N83</f>
        <v>485.6908333333334</v>
      </c>
      <c r="P84" s="55">
        <f>+O84</f>
        <v>485.6908333333334</v>
      </c>
      <c r="Q84" s="55">
        <f>+P84</f>
        <v>485.6908333333334</v>
      </c>
      <c r="R84" s="55">
        <f>+Q84</f>
        <v>485.6908333333334</v>
      </c>
      <c r="S84" s="55">
        <f>+R84</f>
        <v>485.6908333333334</v>
      </c>
      <c r="T84" s="55">
        <f>+S84</f>
        <v>485.6908333333334</v>
      </c>
      <c r="U84" s="55">
        <f t="shared" si="9"/>
        <v>485.6908333333334</v>
      </c>
      <c r="V84" s="55"/>
      <c r="W84" s="55"/>
      <c r="X84" s="55"/>
      <c r="Y84" s="55"/>
      <c r="Z84" s="55"/>
      <c r="AA84" s="55"/>
      <c r="AB84" s="55"/>
    </row>
    <row r="85" spans="1:28" ht="15">
      <c r="A85" s="55"/>
      <c r="B85" s="55" t="s">
        <v>212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>
        <f>+O84</f>
        <v>485.6908333333334</v>
      </c>
      <c r="Q85" s="55">
        <f>+P85</f>
        <v>485.6908333333334</v>
      </c>
      <c r="R85" s="55">
        <f>+Q85</f>
        <v>485.6908333333334</v>
      </c>
      <c r="S85" s="55">
        <f>+R85</f>
        <v>485.6908333333334</v>
      </c>
      <c r="T85" s="55">
        <f>+S85</f>
        <v>485.6908333333334</v>
      </c>
      <c r="U85" s="55">
        <f t="shared" si="9"/>
        <v>485.6908333333334</v>
      </c>
      <c r="V85" s="55"/>
      <c r="W85" s="55"/>
      <c r="X85" s="55"/>
      <c r="Y85" s="55"/>
      <c r="Z85" s="55"/>
      <c r="AA85" s="55"/>
      <c r="AB85" s="55"/>
    </row>
    <row r="86" spans="1:28" ht="15">
      <c r="A86" s="55"/>
      <c r="B86" s="55" t="s">
        <v>213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>
        <f>+P85</f>
        <v>485.6908333333334</v>
      </c>
      <c r="R86" s="55">
        <f>+Q86</f>
        <v>485.6908333333334</v>
      </c>
      <c r="S86" s="55">
        <f>+R86</f>
        <v>485.6908333333334</v>
      </c>
      <c r="T86" s="55">
        <f>+S86</f>
        <v>485.6908333333334</v>
      </c>
      <c r="U86" s="55">
        <f t="shared" si="9"/>
        <v>485.6908333333334</v>
      </c>
      <c r="V86" s="55"/>
      <c r="W86" s="55"/>
      <c r="X86" s="55"/>
      <c r="Y86" s="55"/>
      <c r="Z86" s="55"/>
      <c r="AA86" s="55"/>
      <c r="AB86" s="55"/>
    </row>
    <row r="87" spans="1:28" ht="15">
      <c r="A87" s="55"/>
      <c r="B87" s="55" t="s">
        <v>214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>
        <f>+Q86</f>
        <v>485.6908333333334</v>
      </c>
      <c r="S87" s="55">
        <f>+R87</f>
        <v>485.6908333333334</v>
      </c>
      <c r="T87" s="55">
        <f>+S87</f>
        <v>485.6908333333334</v>
      </c>
      <c r="U87" s="55">
        <f t="shared" si="9"/>
        <v>485.6908333333334</v>
      </c>
      <c r="V87" s="55"/>
      <c r="W87" s="55"/>
      <c r="X87" s="55"/>
      <c r="Y87" s="55"/>
      <c r="Z87" s="55"/>
      <c r="AA87" s="55"/>
      <c r="AB87" s="55"/>
    </row>
    <row r="88" spans="1:28" ht="15">
      <c r="A88" s="55"/>
      <c r="B88" s="55" t="s">
        <v>215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>
        <f>+R87</f>
        <v>485.6908333333334</v>
      </c>
      <c r="T88" s="55">
        <f>+S88</f>
        <v>485.6908333333334</v>
      </c>
      <c r="U88" s="55">
        <f t="shared" si="9"/>
        <v>485.6908333333334</v>
      </c>
      <c r="V88" s="55"/>
      <c r="W88" s="55"/>
      <c r="X88" s="55"/>
      <c r="Y88" s="55"/>
      <c r="Z88" s="55"/>
      <c r="AA88" s="55"/>
      <c r="AB88" s="55"/>
    </row>
    <row r="89" spans="1:28" ht="15">
      <c r="A89" s="55"/>
      <c r="B89" s="55" t="s">
        <v>216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>
        <f>+S88</f>
        <v>485.6908333333334</v>
      </c>
      <c r="U89" s="55">
        <f>+T89</f>
        <v>485.6908333333334</v>
      </c>
      <c r="V89" s="55"/>
      <c r="W89" s="55"/>
      <c r="X89" s="55"/>
      <c r="Y89" s="55"/>
      <c r="Z89" s="55"/>
      <c r="AA89" s="55"/>
      <c r="AB89" s="55"/>
    </row>
    <row r="90" spans="1:28" ht="15">
      <c r="A90" s="55"/>
      <c r="B90" s="55" t="s">
        <v>217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>
        <f>+T89</f>
        <v>485.6908333333334</v>
      </c>
      <c r="V90" s="55"/>
      <c r="W90" s="55"/>
      <c r="X90" s="55"/>
      <c r="Y90" s="55"/>
      <c r="Z90" s="55"/>
      <c r="AA90" s="55"/>
      <c r="AB90" s="55"/>
    </row>
    <row r="91" spans="1:28" ht="15">
      <c r="A91" s="59"/>
      <c r="B91" s="59" t="s">
        <v>224</v>
      </c>
      <c r="C91" s="59">
        <f>SUM(C72:C90)</f>
        <v>485.6908333333334</v>
      </c>
      <c r="D91" s="59">
        <f aca="true" t="shared" si="10" ref="D91:U91">SUM(D72:D90)</f>
        <v>971.3816666666668</v>
      </c>
      <c r="E91" s="59">
        <f t="shared" si="10"/>
        <v>1457.0725000000002</v>
      </c>
      <c r="F91" s="59">
        <f t="shared" si="10"/>
        <v>1942.7633333333335</v>
      </c>
      <c r="G91" s="59">
        <f t="shared" si="10"/>
        <v>2428.454166666667</v>
      </c>
      <c r="H91" s="59">
        <f t="shared" si="10"/>
        <v>2914.1450000000004</v>
      </c>
      <c r="I91" s="59">
        <f t="shared" si="10"/>
        <v>3399.835833333334</v>
      </c>
      <c r="J91" s="59">
        <f t="shared" si="10"/>
        <v>3885.5266666666676</v>
      </c>
      <c r="K91" s="59">
        <f t="shared" si="10"/>
        <v>4371.217500000001</v>
      </c>
      <c r="L91" s="59">
        <f t="shared" si="10"/>
        <v>4856.908333333334</v>
      </c>
      <c r="M91" s="59">
        <f t="shared" si="10"/>
        <v>5342.599166666667</v>
      </c>
      <c r="N91" s="59">
        <f t="shared" si="10"/>
        <v>5828.29</v>
      </c>
      <c r="O91" s="59">
        <f t="shared" si="10"/>
        <v>5828.29</v>
      </c>
      <c r="P91" s="59">
        <f t="shared" si="10"/>
        <v>5828.29</v>
      </c>
      <c r="Q91" s="59">
        <f t="shared" si="10"/>
        <v>5828.29</v>
      </c>
      <c r="R91" s="59">
        <f t="shared" si="10"/>
        <v>5828.29</v>
      </c>
      <c r="S91" s="59">
        <f t="shared" si="10"/>
        <v>5828.29</v>
      </c>
      <c r="T91" s="59">
        <f t="shared" si="10"/>
        <v>5828.29</v>
      </c>
      <c r="U91" s="59">
        <f t="shared" si="10"/>
        <v>5828.29</v>
      </c>
      <c r="V91" s="55"/>
      <c r="W91" s="55"/>
      <c r="X91" s="55"/>
      <c r="Y91" s="55"/>
      <c r="Z91" s="55"/>
      <c r="AA91" s="55"/>
      <c r="AB91" s="55"/>
    </row>
    <row r="92" spans="1:28" ht="15.75" thickBot="1">
      <c r="A92" s="69"/>
      <c r="B92" s="69" t="s">
        <v>225</v>
      </c>
      <c r="C92" s="69"/>
      <c r="D92" s="69"/>
      <c r="E92" s="69"/>
      <c r="F92" s="69">
        <f>AVERAGE(C91:F91)</f>
        <v>1214.2270833333334</v>
      </c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>
        <f>AVERAGE(G91:R91)</f>
        <v>4695.011388888889</v>
      </c>
      <c r="S92" s="69"/>
      <c r="T92" s="69"/>
      <c r="U92" s="69">
        <f>AVERAGE(S91:U91)</f>
        <v>5828.29</v>
      </c>
      <c r="V92" s="55"/>
      <c r="W92" s="55"/>
      <c r="X92" s="55"/>
      <c r="Y92" s="55"/>
      <c r="Z92" s="55"/>
      <c r="AA92" s="55"/>
      <c r="AB92" s="55"/>
    </row>
    <row r="93" spans="1:28" ht="1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</row>
    <row r="94" spans="1:28" ht="1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</row>
    <row r="95" spans="1:28" ht="1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 spans="1:28" ht="1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</row>
    <row r="97" spans="1:28" ht="1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zoomScale="70" zoomScaleNormal="70" zoomScalePageLayoutView="0" workbookViewId="0" topLeftCell="A1">
      <selection activeCell="A1" sqref="A1"/>
    </sheetView>
  </sheetViews>
  <sheetFormatPr defaultColWidth="8.88671875" defaultRowHeight="15"/>
  <cols>
    <col min="4" max="4" width="11.3359375" style="0" customWidth="1"/>
    <col min="5" max="5" width="9.88671875" style="0" customWidth="1"/>
    <col min="10" max="28" width="6.5546875" style="0" customWidth="1"/>
  </cols>
  <sheetData>
    <row r="1" spans="1:5" ht="15.75">
      <c r="A1" s="79" t="s">
        <v>453</v>
      </c>
      <c r="B1" s="55"/>
      <c r="C1" s="55"/>
      <c r="D1" s="55"/>
      <c r="E1" s="55"/>
    </row>
    <row r="2" spans="1:5" ht="15">
      <c r="A2" s="58" t="s">
        <v>207</v>
      </c>
      <c r="B2" s="55"/>
      <c r="C2" s="55"/>
      <c r="D2" s="55"/>
      <c r="E2" s="55"/>
    </row>
    <row r="3" spans="1:5" ht="15">
      <c r="A3" s="64" t="s">
        <v>146</v>
      </c>
      <c r="B3" s="55"/>
      <c r="C3" s="55"/>
      <c r="D3" s="55"/>
      <c r="E3" s="55"/>
    </row>
    <row r="4" spans="1:5" ht="15">
      <c r="A4" s="64" t="s">
        <v>206</v>
      </c>
      <c r="B4" s="55"/>
      <c r="C4" s="55"/>
      <c r="D4" s="55"/>
      <c r="E4" s="55"/>
    </row>
    <row r="5" spans="1:5" ht="15">
      <c r="A5" s="64"/>
      <c r="B5" s="55"/>
      <c r="C5" s="55"/>
      <c r="D5" s="55"/>
      <c r="E5" s="55"/>
    </row>
    <row r="6" ht="15">
      <c r="E6" s="55"/>
    </row>
    <row r="7" spans="1:5" ht="15.75" thickBot="1">
      <c r="A7" s="56" t="s">
        <v>131</v>
      </c>
      <c r="B7" s="56"/>
      <c r="C7" s="57" t="s">
        <v>6</v>
      </c>
      <c r="D7" s="57" t="s">
        <v>15</v>
      </c>
      <c r="E7" s="57" t="s">
        <v>231</v>
      </c>
    </row>
    <row r="8" spans="1:5" ht="15">
      <c r="A8" s="64" t="s">
        <v>447</v>
      </c>
      <c r="B8" s="64"/>
      <c r="C8" s="55">
        <f>+M46</f>
        <v>1214.2270833333334</v>
      </c>
      <c r="D8" s="55">
        <f>+Y46</f>
        <v>4695.011388888889</v>
      </c>
      <c r="E8" s="55">
        <f>AVERAGE(Z45:AB45)</f>
        <v>5828.29</v>
      </c>
    </row>
    <row r="9" spans="1:7" ht="15">
      <c r="A9" s="55" t="s">
        <v>147</v>
      </c>
      <c r="B9" s="55"/>
      <c r="C9" s="55">
        <v>3</v>
      </c>
      <c r="D9" s="55">
        <v>12</v>
      </c>
      <c r="E9" s="55">
        <v>3</v>
      </c>
      <c r="F9" s="55"/>
      <c r="G9" s="55"/>
    </row>
    <row r="10" spans="1:7" ht="15">
      <c r="A10" s="64" t="s">
        <v>448</v>
      </c>
      <c r="B10" s="64"/>
      <c r="C10" s="55">
        <f>+C24</f>
        <v>139.29999999999998</v>
      </c>
      <c r="D10" s="55">
        <f>+D24</f>
        <v>127.225</v>
      </c>
      <c r="E10" s="55">
        <f>+E24</f>
        <v>123.19999999999999</v>
      </c>
      <c r="F10" s="55"/>
      <c r="G10" s="55"/>
    </row>
    <row r="11" spans="1:7" ht="15.75" thickBot="1">
      <c r="A11" s="76" t="s">
        <v>46</v>
      </c>
      <c r="B11" s="76"/>
      <c r="C11" s="56">
        <f>+C8*C9*C10</f>
        <v>507425.49812500004</v>
      </c>
      <c r="D11" s="56">
        <f>+D8*D9*D10</f>
        <v>7167873.887416667</v>
      </c>
      <c r="E11" s="56">
        <f>+E8*E9*E10</f>
        <v>2154135.9839999997</v>
      </c>
      <c r="F11" s="55"/>
      <c r="G11" s="55"/>
    </row>
    <row r="12" spans="6:7" ht="15">
      <c r="F12" s="55"/>
      <c r="G12" s="55"/>
    </row>
    <row r="13" spans="6:7" ht="15">
      <c r="F13" s="55"/>
      <c r="G13" s="55"/>
    </row>
    <row r="14" spans="6:7" ht="15">
      <c r="F14" s="55"/>
      <c r="G14" s="55"/>
    </row>
    <row r="15" spans="6:7" ht="15">
      <c r="F15" s="55"/>
      <c r="G15" s="55"/>
    </row>
    <row r="16" spans="1:8" ht="15.75">
      <c r="A16" s="71" t="s">
        <v>449</v>
      </c>
      <c r="B16" s="55"/>
      <c r="C16" s="55"/>
      <c r="D16" s="55"/>
      <c r="F16" s="55"/>
      <c r="G16" s="55"/>
      <c r="H16" s="13" t="s">
        <v>450</v>
      </c>
    </row>
    <row r="17" spans="1:7" ht="15.75" thickBot="1">
      <c r="A17" s="57" t="s">
        <v>131</v>
      </c>
      <c r="B17" s="166"/>
      <c r="C17" s="57" t="s">
        <v>442</v>
      </c>
      <c r="D17" s="57" t="s">
        <v>443</v>
      </c>
      <c r="F17" s="55"/>
      <c r="G17" s="55"/>
    </row>
    <row r="18" spans="1:11" ht="15">
      <c r="A18" s="55" t="s">
        <v>441</v>
      </c>
      <c r="C18" s="55">
        <v>176</v>
      </c>
      <c r="D18" s="55">
        <v>199</v>
      </c>
      <c r="E18" s="55"/>
      <c r="F18" s="55"/>
      <c r="G18" s="55"/>
      <c r="H18" s="64" t="s">
        <v>204</v>
      </c>
      <c r="I18" s="55"/>
      <c r="J18" s="55"/>
      <c r="K18" s="55">
        <v>5447</v>
      </c>
    </row>
    <row r="19" spans="1:11" ht="15">
      <c r="A19" s="63" t="s">
        <v>451</v>
      </c>
      <c r="B19" s="55"/>
      <c r="C19" s="66">
        <v>0.7</v>
      </c>
      <c r="D19" s="66">
        <v>0.7</v>
      </c>
      <c r="E19" s="55"/>
      <c r="F19" s="55"/>
      <c r="G19" s="55"/>
      <c r="H19" s="64" t="s">
        <v>205</v>
      </c>
      <c r="I19" s="55"/>
      <c r="J19" s="55"/>
      <c r="K19" s="55">
        <f>+K18/12</f>
        <v>453.9166666666667</v>
      </c>
    </row>
    <row r="20" spans="1:11" ht="15">
      <c r="A20" t="s">
        <v>444</v>
      </c>
      <c r="C20">
        <f>+C18*C19</f>
        <v>123.19999999999999</v>
      </c>
      <c r="D20">
        <f>+D18*D19</f>
        <v>139.29999999999998</v>
      </c>
      <c r="G20" s="55"/>
      <c r="H20" s="55" t="s">
        <v>208</v>
      </c>
      <c r="I20" s="55"/>
      <c r="J20" s="55"/>
      <c r="K20" s="65">
        <v>0.07</v>
      </c>
    </row>
    <row r="21" spans="7:11" ht="15">
      <c r="G21" s="55"/>
      <c r="H21" s="55" t="s">
        <v>209</v>
      </c>
      <c r="I21" s="55"/>
      <c r="J21" s="55"/>
      <c r="K21" s="55">
        <f>+K19*(1+K20)</f>
        <v>485.6908333333334</v>
      </c>
    </row>
    <row r="22" spans="1:7" ht="15">
      <c r="A22" t="s">
        <v>445</v>
      </c>
      <c r="C22" s="168" t="s">
        <v>6</v>
      </c>
      <c r="D22" s="168" t="s">
        <v>15</v>
      </c>
      <c r="E22" s="168" t="s">
        <v>231</v>
      </c>
      <c r="G22" s="55"/>
    </row>
    <row r="23" spans="1:7" ht="15">
      <c r="A23" t="s">
        <v>147</v>
      </c>
      <c r="C23">
        <v>3</v>
      </c>
      <c r="D23">
        <v>12</v>
      </c>
      <c r="E23">
        <v>3</v>
      </c>
      <c r="G23" s="55"/>
    </row>
    <row r="24" spans="1:28" ht="15.75">
      <c r="A24" t="s">
        <v>446</v>
      </c>
      <c r="C24" s="1">
        <f>+D20</f>
        <v>139.29999999999998</v>
      </c>
      <c r="D24" s="1">
        <f>+D20*(3)/12+C20*(9)/12</f>
        <v>127.225</v>
      </c>
      <c r="E24" s="1">
        <f>+C20</f>
        <v>123.19999999999999</v>
      </c>
      <c r="G24" s="55"/>
      <c r="H24" s="59"/>
      <c r="I24" s="59"/>
      <c r="J24" s="78" t="s">
        <v>229</v>
      </c>
      <c r="K24" s="59"/>
      <c r="L24" s="59"/>
      <c r="M24" s="59"/>
      <c r="N24" s="59"/>
      <c r="O24" s="59"/>
      <c r="P24" s="59"/>
      <c r="Q24" s="59"/>
      <c r="R24" s="59"/>
      <c r="S24" s="59"/>
      <c r="T24" s="138" t="s">
        <v>416</v>
      </c>
      <c r="U24" s="59"/>
      <c r="V24" s="59"/>
      <c r="W24" s="59"/>
      <c r="X24" s="59"/>
      <c r="Y24" s="59"/>
      <c r="Z24" s="59"/>
      <c r="AA24" s="59"/>
      <c r="AB24" s="59"/>
    </row>
    <row r="25" spans="1:28" ht="15.75" thickBot="1">
      <c r="A25" s="64"/>
      <c r="B25" s="55"/>
      <c r="C25" s="55"/>
      <c r="D25" s="55"/>
      <c r="E25" s="55"/>
      <c r="F25" s="55"/>
      <c r="G25" s="55"/>
      <c r="H25" s="69" t="s">
        <v>228</v>
      </c>
      <c r="I25" s="69" t="s">
        <v>227</v>
      </c>
      <c r="J25" s="70" t="s">
        <v>211</v>
      </c>
      <c r="K25" s="70" t="s">
        <v>212</v>
      </c>
      <c r="L25" s="70" t="s">
        <v>213</v>
      </c>
      <c r="M25" s="70" t="s">
        <v>214</v>
      </c>
      <c r="N25" s="70" t="s">
        <v>215</v>
      </c>
      <c r="O25" s="70" t="s">
        <v>216</v>
      </c>
      <c r="P25" s="70" t="s">
        <v>217</v>
      </c>
      <c r="Q25" s="70" t="s">
        <v>218</v>
      </c>
      <c r="R25" s="70" t="s">
        <v>219</v>
      </c>
      <c r="S25" s="70" t="s">
        <v>220</v>
      </c>
      <c r="T25" s="70" t="s">
        <v>221</v>
      </c>
      <c r="U25" s="70" t="s">
        <v>222</v>
      </c>
      <c r="V25" s="70" t="s">
        <v>211</v>
      </c>
      <c r="W25" s="70" t="s">
        <v>212</v>
      </c>
      <c r="X25" s="70" t="s">
        <v>213</v>
      </c>
      <c r="Y25" s="70" t="s">
        <v>214</v>
      </c>
      <c r="Z25" s="70" t="s">
        <v>215</v>
      </c>
      <c r="AA25" s="70" t="s">
        <v>216</v>
      </c>
      <c r="AB25" s="70" t="s">
        <v>217</v>
      </c>
    </row>
    <row r="26" spans="6:28" ht="15">
      <c r="F26" s="55"/>
      <c r="G26" s="55"/>
      <c r="H26" s="63" t="s">
        <v>210</v>
      </c>
      <c r="I26" s="55" t="s">
        <v>211</v>
      </c>
      <c r="J26" s="55">
        <f>+K21</f>
        <v>485.6908333333334</v>
      </c>
      <c r="K26" s="55">
        <f>+J26</f>
        <v>485.6908333333334</v>
      </c>
      <c r="L26" s="55">
        <f>+K26</f>
        <v>485.6908333333334</v>
      </c>
      <c r="M26" s="55">
        <f>+L26</f>
        <v>485.6908333333334</v>
      </c>
      <c r="N26" s="55">
        <f>+M26</f>
        <v>485.6908333333334</v>
      </c>
      <c r="O26" s="55">
        <f>+N26</f>
        <v>485.6908333333334</v>
      </c>
      <c r="P26" s="55">
        <f>+O26</f>
        <v>485.6908333333334</v>
      </c>
      <c r="Q26" s="55">
        <f>+P26</f>
        <v>485.6908333333334</v>
      </c>
      <c r="R26" s="55">
        <f>+Q26</f>
        <v>485.6908333333334</v>
      </c>
      <c r="S26" s="55">
        <f>+R26</f>
        <v>485.6908333333334</v>
      </c>
      <c r="T26" s="55">
        <f>+S26</f>
        <v>485.6908333333334</v>
      </c>
      <c r="U26" s="55">
        <f>+T26</f>
        <v>485.6908333333334</v>
      </c>
      <c r="V26" s="55"/>
      <c r="W26" s="55"/>
      <c r="X26" s="55"/>
      <c r="Y26" s="55"/>
      <c r="Z26" s="55"/>
      <c r="AA26" s="55"/>
      <c r="AB26" s="55"/>
    </row>
    <row r="27" spans="1:28" ht="15.75">
      <c r="A27" s="167" t="s">
        <v>452</v>
      </c>
      <c r="F27" s="55"/>
      <c r="G27" s="55"/>
      <c r="H27" s="55"/>
      <c r="I27" s="55" t="s">
        <v>212</v>
      </c>
      <c r="J27" s="55"/>
      <c r="K27" s="55">
        <f>+J26</f>
        <v>485.6908333333334</v>
      </c>
      <c r="L27" s="55">
        <f>+K27</f>
        <v>485.6908333333334</v>
      </c>
      <c r="M27" s="55">
        <f>+L27</f>
        <v>485.6908333333334</v>
      </c>
      <c r="N27" s="55">
        <f>+M27</f>
        <v>485.6908333333334</v>
      </c>
      <c r="O27" s="55">
        <f>+N27</f>
        <v>485.6908333333334</v>
      </c>
      <c r="P27" s="55">
        <f>+O27</f>
        <v>485.6908333333334</v>
      </c>
      <c r="Q27" s="55">
        <f>+P27</f>
        <v>485.6908333333334</v>
      </c>
      <c r="R27" s="55">
        <f>+Q27</f>
        <v>485.6908333333334</v>
      </c>
      <c r="S27" s="55">
        <f>+R27</f>
        <v>485.6908333333334</v>
      </c>
      <c r="T27" s="55">
        <f>+S27</f>
        <v>485.6908333333334</v>
      </c>
      <c r="U27" s="55">
        <f>+T27</f>
        <v>485.6908333333334</v>
      </c>
      <c r="V27" s="55">
        <f>+U27</f>
        <v>485.6908333333334</v>
      </c>
      <c r="W27" s="55"/>
      <c r="X27" s="55"/>
      <c r="Y27" s="55"/>
      <c r="Z27" s="55"/>
      <c r="AA27" s="55"/>
      <c r="AB27" s="55"/>
    </row>
    <row r="28" spans="1:28" ht="15">
      <c r="A28" s="59"/>
      <c r="B28" s="74" t="s">
        <v>237</v>
      </c>
      <c r="C28" s="68" t="s">
        <v>235</v>
      </c>
      <c r="D28" s="68" t="s">
        <v>235</v>
      </c>
      <c r="F28" s="55"/>
      <c r="G28" s="55"/>
      <c r="H28" s="55"/>
      <c r="I28" s="55" t="s">
        <v>213</v>
      </c>
      <c r="J28" s="55"/>
      <c r="K28" s="55"/>
      <c r="L28" s="55">
        <f>+K27</f>
        <v>485.6908333333334</v>
      </c>
      <c r="M28" s="55">
        <f>+L28</f>
        <v>485.6908333333334</v>
      </c>
      <c r="N28" s="55">
        <f>+M28</f>
        <v>485.6908333333334</v>
      </c>
      <c r="O28" s="55">
        <f>+N28</f>
        <v>485.6908333333334</v>
      </c>
      <c r="P28" s="55">
        <f>+O28</f>
        <v>485.6908333333334</v>
      </c>
      <c r="Q28" s="55">
        <f>+P28</f>
        <v>485.6908333333334</v>
      </c>
      <c r="R28" s="55">
        <f>+Q28</f>
        <v>485.6908333333334</v>
      </c>
      <c r="S28" s="55">
        <f>+R28</f>
        <v>485.6908333333334</v>
      </c>
      <c r="T28" s="55">
        <f>+S28</f>
        <v>485.6908333333334</v>
      </c>
      <c r="U28" s="55">
        <f>+T28</f>
        <v>485.6908333333334</v>
      </c>
      <c r="V28" s="55">
        <f>+U28</f>
        <v>485.6908333333334</v>
      </c>
      <c r="W28" s="55">
        <f>+V28</f>
        <v>485.6908333333334</v>
      </c>
      <c r="X28" s="55"/>
      <c r="Y28" s="55"/>
      <c r="Z28" s="55"/>
      <c r="AA28" s="55"/>
      <c r="AB28" s="55"/>
    </row>
    <row r="29" spans="1:28" ht="15.75" thickBot="1">
      <c r="A29" s="69" t="s">
        <v>240</v>
      </c>
      <c r="B29" s="70" t="s">
        <v>236</v>
      </c>
      <c r="C29" s="70" t="s">
        <v>238</v>
      </c>
      <c r="D29" s="70" t="s">
        <v>9</v>
      </c>
      <c r="F29" s="55"/>
      <c r="G29" s="55"/>
      <c r="H29" s="55"/>
      <c r="I29" s="55" t="s">
        <v>214</v>
      </c>
      <c r="J29" s="55"/>
      <c r="K29" s="55"/>
      <c r="L29" s="55"/>
      <c r="M29" s="55">
        <f>+L28</f>
        <v>485.6908333333334</v>
      </c>
      <c r="N29" s="55">
        <f>+M29</f>
        <v>485.6908333333334</v>
      </c>
      <c r="O29" s="55">
        <f>+N29</f>
        <v>485.6908333333334</v>
      </c>
      <c r="P29" s="55">
        <f>+O29</f>
        <v>485.6908333333334</v>
      </c>
      <c r="Q29" s="55">
        <f>+P29</f>
        <v>485.6908333333334</v>
      </c>
      <c r="R29" s="55">
        <f>+Q29</f>
        <v>485.6908333333334</v>
      </c>
      <c r="S29" s="55">
        <f>+R29</f>
        <v>485.6908333333334</v>
      </c>
      <c r="T29" s="55">
        <f>+S29</f>
        <v>485.6908333333334</v>
      </c>
      <c r="U29" s="55">
        <f>+T29</f>
        <v>485.6908333333334</v>
      </c>
      <c r="V29" s="55">
        <f>+U29</f>
        <v>485.6908333333334</v>
      </c>
      <c r="W29" s="55">
        <f>+V29</f>
        <v>485.6908333333334</v>
      </c>
      <c r="X29" s="55">
        <f>+W29</f>
        <v>485.6908333333334</v>
      </c>
      <c r="Y29" s="55"/>
      <c r="Z29" s="55"/>
      <c r="AA29" s="55"/>
      <c r="AB29" s="55"/>
    </row>
    <row r="30" spans="1:28" ht="15">
      <c r="A30" s="55">
        <v>1</v>
      </c>
      <c r="B30" s="55">
        <v>45249</v>
      </c>
      <c r="C30" s="55">
        <v>176</v>
      </c>
      <c r="D30" s="55">
        <f>+B30*C30</f>
        <v>7963824</v>
      </c>
      <c r="E30" s="55"/>
      <c r="F30" s="55"/>
      <c r="G30" s="55"/>
      <c r="H30" s="55"/>
      <c r="I30" s="55" t="s">
        <v>215</v>
      </c>
      <c r="J30" s="55"/>
      <c r="K30" s="55"/>
      <c r="L30" s="55"/>
      <c r="M30" s="55"/>
      <c r="N30" s="55">
        <f>+M29</f>
        <v>485.6908333333334</v>
      </c>
      <c r="O30" s="55">
        <f>+N30</f>
        <v>485.6908333333334</v>
      </c>
      <c r="P30" s="55">
        <f>+O30</f>
        <v>485.6908333333334</v>
      </c>
      <c r="Q30" s="55">
        <f>+P30</f>
        <v>485.6908333333334</v>
      </c>
      <c r="R30" s="55">
        <f>+Q30</f>
        <v>485.6908333333334</v>
      </c>
      <c r="S30" s="55">
        <f>+R30</f>
        <v>485.6908333333334</v>
      </c>
      <c r="T30" s="55">
        <f>+S30</f>
        <v>485.6908333333334</v>
      </c>
      <c r="U30" s="55">
        <f>+T30</f>
        <v>485.6908333333334</v>
      </c>
      <c r="V30" s="55">
        <f>+U30</f>
        <v>485.6908333333334</v>
      </c>
      <c r="W30" s="55">
        <f>+V30</f>
        <v>485.6908333333334</v>
      </c>
      <c r="X30" s="55">
        <f>+W30</f>
        <v>485.6908333333334</v>
      </c>
      <c r="Y30" s="55">
        <f>+X30</f>
        <v>485.6908333333334</v>
      </c>
      <c r="Z30" s="55"/>
      <c r="AA30" s="55"/>
      <c r="AB30" s="55"/>
    </row>
    <row r="31" spans="1:28" ht="15">
      <c r="A31" s="55">
        <v>2</v>
      </c>
      <c r="B31" s="55">
        <v>15331</v>
      </c>
      <c r="C31" s="55">
        <v>323</v>
      </c>
      <c r="D31" s="55">
        <f aca="true" t="shared" si="0" ref="D31:D46">+B31*C31</f>
        <v>4951913</v>
      </c>
      <c r="E31" s="55"/>
      <c r="F31" s="55"/>
      <c r="G31" s="55"/>
      <c r="H31" s="55"/>
      <c r="I31" s="55" t="s">
        <v>216</v>
      </c>
      <c r="J31" s="55"/>
      <c r="K31" s="55"/>
      <c r="L31" s="55"/>
      <c r="M31" s="55"/>
      <c r="N31" s="55"/>
      <c r="O31" s="55">
        <f>+N30</f>
        <v>485.6908333333334</v>
      </c>
      <c r="P31" s="55">
        <f>+O31</f>
        <v>485.6908333333334</v>
      </c>
      <c r="Q31" s="55">
        <f>+P31</f>
        <v>485.6908333333334</v>
      </c>
      <c r="R31" s="55">
        <f>+Q31</f>
        <v>485.6908333333334</v>
      </c>
      <c r="S31" s="55">
        <f>+R31</f>
        <v>485.6908333333334</v>
      </c>
      <c r="T31" s="55">
        <f>+S31</f>
        <v>485.6908333333334</v>
      </c>
      <c r="U31" s="55">
        <f>+T31</f>
        <v>485.6908333333334</v>
      </c>
      <c r="V31" s="55">
        <f>+U31</f>
        <v>485.6908333333334</v>
      </c>
      <c r="W31" s="55">
        <f>+V31</f>
        <v>485.6908333333334</v>
      </c>
      <c r="X31" s="55">
        <f>+W31</f>
        <v>485.6908333333334</v>
      </c>
      <c r="Y31" s="55">
        <f>+X31</f>
        <v>485.6908333333334</v>
      </c>
      <c r="Z31" s="55">
        <f>+Y31</f>
        <v>485.6908333333334</v>
      </c>
      <c r="AA31" s="55"/>
      <c r="AB31" s="55"/>
    </row>
    <row r="32" spans="1:28" ht="15">
      <c r="A32" s="55">
        <v>3</v>
      </c>
      <c r="B32" s="55">
        <v>13263</v>
      </c>
      <c r="C32" s="55">
        <v>463</v>
      </c>
      <c r="D32" s="55">
        <f t="shared" si="0"/>
        <v>6140769</v>
      </c>
      <c r="G32" s="55"/>
      <c r="H32" s="55"/>
      <c r="I32" s="55" t="s">
        <v>217</v>
      </c>
      <c r="J32" s="55"/>
      <c r="K32" s="55"/>
      <c r="L32" s="55"/>
      <c r="M32" s="55"/>
      <c r="N32" s="55"/>
      <c r="O32" s="55"/>
      <c r="P32" s="55">
        <f>+O31</f>
        <v>485.6908333333334</v>
      </c>
      <c r="Q32" s="55">
        <f>+P32</f>
        <v>485.6908333333334</v>
      </c>
      <c r="R32" s="55">
        <f>+Q32</f>
        <v>485.6908333333334</v>
      </c>
      <c r="S32" s="55">
        <f>+R32</f>
        <v>485.6908333333334</v>
      </c>
      <c r="T32" s="55">
        <f>+S32</f>
        <v>485.6908333333334</v>
      </c>
      <c r="U32" s="55">
        <f>+T32</f>
        <v>485.6908333333334</v>
      </c>
      <c r="V32" s="55">
        <f>+U32</f>
        <v>485.6908333333334</v>
      </c>
      <c r="W32" s="55">
        <f>+V32</f>
        <v>485.6908333333334</v>
      </c>
      <c r="X32" s="55">
        <f>+W32</f>
        <v>485.6908333333334</v>
      </c>
      <c r="Y32" s="55">
        <f>+X32</f>
        <v>485.6908333333334</v>
      </c>
      <c r="Z32" s="55">
        <f>+Y32</f>
        <v>485.6908333333334</v>
      </c>
      <c r="AA32" s="55">
        <f>+Z32</f>
        <v>485.6908333333334</v>
      </c>
      <c r="AB32" s="55"/>
    </row>
    <row r="33" spans="1:28" ht="15">
      <c r="A33" s="55">
        <v>4</v>
      </c>
      <c r="B33" s="55">
        <v>9530</v>
      </c>
      <c r="C33" s="55">
        <v>588</v>
      </c>
      <c r="D33" s="55">
        <f t="shared" si="0"/>
        <v>5603640</v>
      </c>
      <c r="G33" s="55"/>
      <c r="H33" s="55"/>
      <c r="I33" s="55" t="s">
        <v>218</v>
      </c>
      <c r="J33" s="55"/>
      <c r="K33" s="55"/>
      <c r="L33" s="55"/>
      <c r="M33" s="55"/>
      <c r="N33" s="55"/>
      <c r="O33" s="55"/>
      <c r="P33" s="55"/>
      <c r="Q33" s="55">
        <f>+P32</f>
        <v>485.6908333333334</v>
      </c>
      <c r="R33" s="55">
        <f>+Q33</f>
        <v>485.6908333333334</v>
      </c>
      <c r="S33" s="55">
        <f>+R33</f>
        <v>485.6908333333334</v>
      </c>
      <c r="T33" s="55">
        <f>+S33</f>
        <v>485.6908333333334</v>
      </c>
      <c r="U33" s="55">
        <f>+T33</f>
        <v>485.6908333333334</v>
      </c>
      <c r="V33" s="55">
        <f>+U33</f>
        <v>485.6908333333334</v>
      </c>
      <c r="W33" s="55">
        <f>+V33</f>
        <v>485.6908333333334</v>
      </c>
      <c r="X33" s="55">
        <f>+W33</f>
        <v>485.6908333333334</v>
      </c>
      <c r="Y33" s="55">
        <f>+X33</f>
        <v>485.6908333333334</v>
      </c>
      <c r="Z33" s="55">
        <f>+Y33</f>
        <v>485.6908333333334</v>
      </c>
      <c r="AA33" s="55">
        <f>+Z33</f>
        <v>485.6908333333334</v>
      </c>
      <c r="AB33" s="55">
        <f aca="true" t="shared" si="1" ref="AB33:AB42">+AA33</f>
        <v>485.6908333333334</v>
      </c>
    </row>
    <row r="34" spans="1:28" ht="15">
      <c r="A34" s="55">
        <v>5</v>
      </c>
      <c r="B34" s="55">
        <v>5115</v>
      </c>
      <c r="C34" s="55">
        <v>698</v>
      </c>
      <c r="D34" s="55">
        <f t="shared" si="0"/>
        <v>3570270</v>
      </c>
      <c r="G34" s="55"/>
      <c r="H34" s="55"/>
      <c r="I34" s="55" t="s">
        <v>219</v>
      </c>
      <c r="J34" s="55"/>
      <c r="K34" s="55"/>
      <c r="L34" s="55"/>
      <c r="M34" s="55"/>
      <c r="N34" s="55"/>
      <c r="O34" s="55"/>
      <c r="P34" s="55"/>
      <c r="Q34" s="55"/>
      <c r="R34" s="55">
        <f>+Q33</f>
        <v>485.6908333333334</v>
      </c>
      <c r="S34" s="55">
        <f>+R34</f>
        <v>485.6908333333334</v>
      </c>
      <c r="T34" s="55">
        <f>+S34</f>
        <v>485.6908333333334</v>
      </c>
      <c r="U34" s="55">
        <f>+T34</f>
        <v>485.6908333333334</v>
      </c>
      <c r="V34" s="55">
        <f>+U34</f>
        <v>485.6908333333334</v>
      </c>
      <c r="W34" s="55">
        <f>+V34</f>
        <v>485.6908333333334</v>
      </c>
      <c r="X34" s="55">
        <f>+W34</f>
        <v>485.6908333333334</v>
      </c>
      <c r="Y34" s="55">
        <f>+X34</f>
        <v>485.6908333333334</v>
      </c>
      <c r="Z34" s="55">
        <f>+Y34</f>
        <v>485.6908333333334</v>
      </c>
      <c r="AA34" s="55">
        <f>+Z34</f>
        <v>485.6908333333334</v>
      </c>
      <c r="AB34" s="55">
        <f t="shared" si="1"/>
        <v>485.6908333333334</v>
      </c>
    </row>
    <row r="35" spans="1:28" ht="15">
      <c r="A35" s="55">
        <v>6</v>
      </c>
      <c r="B35" s="55">
        <v>2259</v>
      </c>
      <c r="C35" s="55">
        <v>838</v>
      </c>
      <c r="D35" s="55">
        <f t="shared" si="0"/>
        <v>1893042</v>
      </c>
      <c r="G35" s="55"/>
      <c r="H35" s="55"/>
      <c r="I35" s="55" t="s">
        <v>220</v>
      </c>
      <c r="J35" s="55"/>
      <c r="K35" s="55"/>
      <c r="L35" s="55"/>
      <c r="M35" s="55"/>
      <c r="N35" s="55"/>
      <c r="O35" s="55"/>
      <c r="P35" s="55"/>
      <c r="Q35" s="55"/>
      <c r="R35" s="55"/>
      <c r="S35" s="55">
        <f>+R34</f>
        <v>485.6908333333334</v>
      </c>
      <c r="T35" s="55">
        <f>+S35</f>
        <v>485.6908333333334</v>
      </c>
      <c r="U35" s="55">
        <f>+T35</f>
        <v>485.6908333333334</v>
      </c>
      <c r="V35" s="55">
        <f>+U35</f>
        <v>485.6908333333334</v>
      </c>
      <c r="W35" s="55">
        <f>+V35</f>
        <v>485.6908333333334</v>
      </c>
      <c r="X35" s="55">
        <f>+W35</f>
        <v>485.6908333333334</v>
      </c>
      <c r="Y35" s="55">
        <f>+X35</f>
        <v>485.6908333333334</v>
      </c>
      <c r="Z35" s="55">
        <f>+Y35</f>
        <v>485.6908333333334</v>
      </c>
      <c r="AA35" s="55">
        <f>+Z35</f>
        <v>485.6908333333334</v>
      </c>
      <c r="AB35" s="55">
        <f t="shared" si="1"/>
        <v>485.6908333333334</v>
      </c>
    </row>
    <row r="36" spans="1:28" ht="15">
      <c r="A36" s="55">
        <v>7</v>
      </c>
      <c r="B36" s="55">
        <v>850</v>
      </c>
      <c r="C36" s="55">
        <v>926</v>
      </c>
      <c r="D36" s="55">
        <f t="shared" si="0"/>
        <v>787100</v>
      </c>
      <c r="H36" s="63" t="s">
        <v>223</v>
      </c>
      <c r="I36" s="55" t="s">
        <v>221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f>+S35</f>
        <v>485.6908333333334</v>
      </c>
      <c r="U36" s="55">
        <f>+T36</f>
        <v>485.6908333333334</v>
      </c>
      <c r="V36" s="55">
        <f>+U36</f>
        <v>485.6908333333334</v>
      </c>
      <c r="W36" s="55">
        <f>+V36</f>
        <v>485.6908333333334</v>
      </c>
      <c r="X36" s="55">
        <f>+W36</f>
        <v>485.6908333333334</v>
      </c>
      <c r="Y36" s="55">
        <f>+X36</f>
        <v>485.6908333333334</v>
      </c>
      <c r="Z36" s="55">
        <f>+Y36</f>
        <v>485.6908333333334</v>
      </c>
      <c r="AA36" s="55">
        <f>+Z36</f>
        <v>485.6908333333334</v>
      </c>
      <c r="AB36" s="55">
        <f t="shared" si="1"/>
        <v>485.6908333333334</v>
      </c>
    </row>
    <row r="37" spans="1:28" ht="15">
      <c r="A37" s="55">
        <v>8</v>
      </c>
      <c r="B37" s="55">
        <v>338</v>
      </c>
      <c r="C37" s="55">
        <v>1058</v>
      </c>
      <c r="D37" s="55">
        <f t="shared" si="0"/>
        <v>357604</v>
      </c>
      <c r="H37" s="55"/>
      <c r="I37" s="55" t="s">
        <v>222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>
        <f>+T36</f>
        <v>485.6908333333334</v>
      </c>
      <c r="V37" s="55">
        <f>+U37</f>
        <v>485.6908333333334</v>
      </c>
      <c r="W37" s="55">
        <f>+V37</f>
        <v>485.6908333333334</v>
      </c>
      <c r="X37" s="55">
        <f>+W37</f>
        <v>485.6908333333334</v>
      </c>
      <c r="Y37" s="55">
        <f>+X37</f>
        <v>485.6908333333334</v>
      </c>
      <c r="Z37" s="55">
        <f>+Y37</f>
        <v>485.6908333333334</v>
      </c>
      <c r="AA37" s="55">
        <f>+Z37</f>
        <v>485.6908333333334</v>
      </c>
      <c r="AB37" s="55">
        <f t="shared" si="1"/>
        <v>485.6908333333334</v>
      </c>
    </row>
    <row r="38" spans="1:28" ht="15">
      <c r="A38" s="55">
        <v>9</v>
      </c>
      <c r="B38" s="55">
        <v>131</v>
      </c>
      <c r="C38" s="55">
        <v>1190</v>
      </c>
      <c r="D38" s="55">
        <f t="shared" si="0"/>
        <v>155890</v>
      </c>
      <c r="H38" s="55"/>
      <c r="I38" s="55" t="s">
        <v>211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>
        <f>+U37</f>
        <v>485.6908333333334</v>
      </c>
      <c r="W38" s="55">
        <f>+V38</f>
        <v>485.6908333333334</v>
      </c>
      <c r="X38" s="55">
        <f>+W38</f>
        <v>485.6908333333334</v>
      </c>
      <c r="Y38" s="55">
        <f>+X38</f>
        <v>485.6908333333334</v>
      </c>
      <c r="Z38" s="55">
        <f>+Y38</f>
        <v>485.6908333333334</v>
      </c>
      <c r="AA38" s="55">
        <f>+Z38</f>
        <v>485.6908333333334</v>
      </c>
      <c r="AB38" s="55">
        <f t="shared" si="1"/>
        <v>485.6908333333334</v>
      </c>
    </row>
    <row r="39" spans="1:28" ht="15">
      <c r="A39" s="55">
        <v>10</v>
      </c>
      <c r="B39" s="55">
        <v>50</v>
      </c>
      <c r="C39" s="55">
        <v>1322</v>
      </c>
      <c r="D39" s="55">
        <f t="shared" si="0"/>
        <v>66100</v>
      </c>
      <c r="H39" s="55"/>
      <c r="I39" s="55" t="s">
        <v>212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>
        <f>+V38</f>
        <v>485.6908333333334</v>
      </c>
      <c r="X39" s="55">
        <f>+W39</f>
        <v>485.6908333333334</v>
      </c>
      <c r="Y39" s="55">
        <f>+X39</f>
        <v>485.6908333333334</v>
      </c>
      <c r="Z39" s="55">
        <f>+Y39</f>
        <v>485.6908333333334</v>
      </c>
      <c r="AA39" s="55">
        <f>+Z39</f>
        <v>485.6908333333334</v>
      </c>
      <c r="AB39" s="55">
        <f t="shared" si="1"/>
        <v>485.6908333333334</v>
      </c>
    </row>
    <row r="40" spans="1:28" ht="15">
      <c r="A40" s="55">
        <v>11</v>
      </c>
      <c r="B40" s="55">
        <v>20</v>
      </c>
      <c r="C40" s="55">
        <f>+C39+132</f>
        <v>1454</v>
      </c>
      <c r="D40" s="55">
        <f t="shared" si="0"/>
        <v>29080</v>
      </c>
      <c r="H40" s="55"/>
      <c r="I40" s="55" t="s">
        <v>213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>
        <f>+W39</f>
        <v>485.6908333333334</v>
      </c>
      <c r="Y40" s="55">
        <f>+X40</f>
        <v>485.6908333333334</v>
      </c>
      <c r="Z40" s="55">
        <f>+Y40</f>
        <v>485.6908333333334</v>
      </c>
      <c r="AA40" s="55">
        <f>+Z40</f>
        <v>485.6908333333334</v>
      </c>
      <c r="AB40" s="55">
        <f t="shared" si="1"/>
        <v>485.6908333333334</v>
      </c>
    </row>
    <row r="41" spans="1:28" ht="15">
      <c r="A41" s="55">
        <v>12</v>
      </c>
      <c r="B41" s="55">
        <v>9</v>
      </c>
      <c r="C41" s="55">
        <f aca="true" t="shared" si="2" ref="C41:C46">+C40+132</f>
        <v>1586</v>
      </c>
      <c r="D41" s="55">
        <f t="shared" si="0"/>
        <v>14274</v>
      </c>
      <c r="H41" s="55"/>
      <c r="I41" s="55" t="s">
        <v>214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>
        <f>+X40</f>
        <v>485.6908333333334</v>
      </c>
      <c r="Z41" s="55">
        <f>+Y41</f>
        <v>485.6908333333334</v>
      </c>
      <c r="AA41" s="55">
        <f>+Z41</f>
        <v>485.6908333333334</v>
      </c>
      <c r="AB41" s="55">
        <f t="shared" si="1"/>
        <v>485.6908333333334</v>
      </c>
    </row>
    <row r="42" spans="1:28" ht="15">
      <c r="A42" s="55">
        <v>13</v>
      </c>
      <c r="B42" s="55">
        <v>4</v>
      </c>
      <c r="C42" s="55">
        <f t="shared" si="2"/>
        <v>1718</v>
      </c>
      <c r="D42" s="55">
        <f t="shared" si="0"/>
        <v>6872</v>
      </c>
      <c r="H42" s="55"/>
      <c r="I42" s="55" t="s">
        <v>215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>
        <f>+Y41</f>
        <v>485.6908333333334</v>
      </c>
      <c r="AA42" s="55">
        <f>+Z42</f>
        <v>485.6908333333334</v>
      </c>
      <c r="AB42" s="55">
        <f t="shared" si="1"/>
        <v>485.6908333333334</v>
      </c>
    </row>
    <row r="43" spans="1:28" ht="15">
      <c r="A43" s="55">
        <v>14</v>
      </c>
      <c r="B43" s="55">
        <v>1</v>
      </c>
      <c r="C43" s="55">
        <f t="shared" si="2"/>
        <v>1850</v>
      </c>
      <c r="D43" s="55">
        <f t="shared" si="0"/>
        <v>1850</v>
      </c>
      <c r="H43" s="55"/>
      <c r="I43" s="55" t="s">
        <v>216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>
        <f>+Z42</f>
        <v>485.6908333333334</v>
      </c>
      <c r="AB43" s="55">
        <f>+AA43</f>
        <v>485.6908333333334</v>
      </c>
    </row>
    <row r="44" spans="1:28" ht="15">
      <c r="A44" s="55">
        <v>15</v>
      </c>
      <c r="B44" s="55">
        <v>0</v>
      </c>
      <c r="C44" s="55">
        <f t="shared" si="2"/>
        <v>1982</v>
      </c>
      <c r="D44" s="55">
        <f t="shared" si="0"/>
        <v>0</v>
      </c>
      <c r="H44" s="55"/>
      <c r="I44" s="55" t="s">
        <v>217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>
        <f>+AA43</f>
        <v>485.6908333333334</v>
      </c>
    </row>
    <row r="45" spans="1:28" ht="15">
      <c r="A45" s="55">
        <v>16</v>
      </c>
      <c r="B45" s="55">
        <v>0</v>
      </c>
      <c r="C45" s="55">
        <f t="shared" si="2"/>
        <v>2114</v>
      </c>
      <c r="D45" s="55">
        <f t="shared" si="0"/>
        <v>0</v>
      </c>
      <c r="H45" s="59"/>
      <c r="I45" s="59" t="s">
        <v>224</v>
      </c>
      <c r="J45" s="59">
        <f>SUM(J26:J44)</f>
        <v>485.6908333333334</v>
      </c>
      <c r="K45" s="59">
        <f aca="true" t="shared" si="3" ref="K45:AB45">SUM(K26:K44)</f>
        <v>971.3816666666668</v>
      </c>
      <c r="L45" s="59">
        <f t="shared" si="3"/>
        <v>1457.0725000000002</v>
      </c>
      <c r="M45" s="59">
        <f t="shared" si="3"/>
        <v>1942.7633333333335</v>
      </c>
      <c r="N45" s="59">
        <f t="shared" si="3"/>
        <v>2428.454166666667</v>
      </c>
      <c r="O45" s="59">
        <f t="shared" si="3"/>
        <v>2914.1450000000004</v>
      </c>
      <c r="P45" s="59">
        <f t="shared" si="3"/>
        <v>3399.835833333334</v>
      </c>
      <c r="Q45" s="59">
        <f t="shared" si="3"/>
        <v>3885.5266666666676</v>
      </c>
      <c r="R45" s="59">
        <f t="shared" si="3"/>
        <v>4371.217500000001</v>
      </c>
      <c r="S45" s="59">
        <f t="shared" si="3"/>
        <v>4856.908333333334</v>
      </c>
      <c r="T45" s="59">
        <f t="shared" si="3"/>
        <v>5342.599166666667</v>
      </c>
      <c r="U45" s="59">
        <f t="shared" si="3"/>
        <v>5828.29</v>
      </c>
      <c r="V45" s="59">
        <f t="shared" si="3"/>
        <v>5828.29</v>
      </c>
      <c r="W45" s="59">
        <f t="shared" si="3"/>
        <v>5828.29</v>
      </c>
      <c r="X45" s="59">
        <f t="shared" si="3"/>
        <v>5828.29</v>
      </c>
      <c r="Y45" s="59">
        <f t="shared" si="3"/>
        <v>5828.29</v>
      </c>
      <c r="Z45" s="59">
        <f t="shared" si="3"/>
        <v>5828.29</v>
      </c>
      <c r="AA45" s="59">
        <f t="shared" si="3"/>
        <v>5828.29</v>
      </c>
      <c r="AB45" s="59">
        <f t="shared" si="3"/>
        <v>5828.29</v>
      </c>
    </row>
    <row r="46" spans="1:28" ht="15.75" thickBot="1">
      <c r="A46" s="55">
        <v>17</v>
      </c>
      <c r="B46" s="55">
        <v>1</v>
      </c>
      <c r="C46" s="55">
        <f t="shared" si="2"/>
        <v>2246</v>
      </c>
      <c r="D46" s="55">
        <f t="shared" si="0"/>
        <v>2246</v>
      </c>
      <c r="H46" s="69"/>
      <c r="I46" s="69" t="s">
        <v>225</v>
      </c>
      <c r="J46" s="69"/>
      <c r="K46" s="69"/>
      <c r="L46" s="69"/>
      <c r="M46" s="69">
        <f>AVERAGE(J45:M45)</f>
        <v>1214.2270833333334</v>
      </c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>
        <f>AVERAGE(N45:Y45)</f>
        <v>4695.011388888889</v>
      </c>
      <c r="Z46" s="69"/>
      <c r="AA46" s="69"/>
      <c r="AB46" s="69">
        <f>AVERAGE(Z45:AB45)</f>
        <v>5828.29</v>
      </c>
    </row>
    <row r="47" spans="1:18" ht="15">
      <c r="A47" s="59" t="s">
        <v>11</v>
      </c>
      <c r="B47" s="59">
        <f>SUM(B30:B46)</f>
        <v>92151</v>
      </c>
      <c r="C47" s="59">
        <f>+D47/B47</f>
        <v>342.31287777669263</v>
      </c>
      <c r="D47" s="59">
        <f>SUM(D30:D46)</f>
        <v>31544474</v>
      </c>
      <c r="P47" s="55"/>
      <c r="Q47" s="55"/>
      <c r="R47" s="55"/>
    </row>
    <row r="48" spans="1:18" ht="15">
      <c r="A48" s="81" t="s">
        <v>241</v>
      </c>
      <c r="B48" s="81">
        <f>+B47</f>
        <v>92151</v>
      </c>
      <c r="C48" s="81">
        <f>+D48/B48</f>
        <v>239.9279761478443</v>
      </c>
      <c r="D48" s="55">
        <v>22109602.93</v>
      </c>
      <c r="P48" s="55"/>
      <c r="Q48" s="55"/>
      <c r="R48" s="55"/>
    </row>
    <row r="49" spans="1:18" ht="15.75" thickBot="1">
      <c r="A49" s="69" t="s">
        <v>239</v>
      </c>
      <c r="B49" s="69"/>
      <c r="C49" s="85">
        <f>+D48/D47</f>
        <v>0.7009025710810711</v>
      </c>
      <c r="D49" s="69"/>
      <c r="P49" s="55"/>
      <c r="Q49" s="55"/>
      <c r="R49" s="55"/>
    </row>
    <row r="50" spans="16:18" ht="15">
      <c r="P50" s="55"/>
      <c r="Q50" s="55"/>
      <c r="R50" s="55"/>
    </row>
    <row r="51" spans="16:18" ht="15">
      <c r="P51" s="55"/>
      <c r="Q51" s="55"/>
      <c r="R51" s="55"/>
    </row>
    <row r="52" spans="16:18" ht="15">
      <c r="P52" s="55"/>
      <c r="Q52" s="55"/>
      <c r="R52" s="55"/>
    </row>
    <row r="53" spans="16:18" ht="15">
      <c r="P53" s="55"/>
      <c r="Q53" s="55"/>
      <c r="R53" s="55"/>
    </row>
    <row r="54" spans="16:18" ht="15">
      <c r="P54" s="55"/>
      <c r="Q54" s="55"/>
      <c r="R54" s="55"/>
    </row>
    <row r="55" spans="16:18" ht="15">
      <c r="P55" s="55"/>
      <c r="Q55" s="55"/>
      <c r="R55" s="55"/>
    </row>
    <row r="56" spans="16:18" ht="15">
      <c r="P56" s="55"/>
      <c r="Q56" s="55"/>
      <c r="R56" s="55"/>
    </row>
    <row r="57" spans="16:18" ht="15">
      <c r="P57" s="55"/>
      <c r="Q57" s="55"/>
      <c r="R57" s="55"/>
    </row>
    <row r="58" spans="16:18" ht="15">
      <c r="P58" s="55"/>
      <c r="Q58" s="55"/>
      <c r="R58" s="55"/>
    </row>
    <row r="59" spans="5:18" ht="15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5:18" ht="15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5:18" ht="15"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="70" zoomScaleNormal="70" zoomScalePageLayoutView="0" workbookViewId="0" topLeftCell="A1">
      <selection activeCell="A18" sqref="A18"/>
    </sheetView>
  </sheetViews>
  <sheetFormatPr defaultColWidth="8.88671875" defaultRowHeight="15"/>
  <cols>
    <col min="1" max="1" width="8.88671875" style="1" customWidth="1"/>
    <col min="2" max="10" width="13.3359375" style="1" customWidth="1"/>
    <col min="11" max="12" width="12.10546875" style="1" customWidth="1"/>
    <col min="13" max="16384" width="8.88671875" style="1" customWidth="1"/>
  </cols>
  <sheetData>
    <row r="1" ht="15.75">
      <c r="A1" s="4" t="s">
        <v>31</v>
      </c>
    </row>
    <row r="3" spans="1:13" ht="15">
      <c r="A3" s="5"/>
      <c r="B3" s="5"/>
      <c r="C3" s="5"/>
      <c r="D3" s="12" t="s">
        <v>173</v>
      </c>
      <c r="E3" s="12"/>
      <c r="F3" s="12"/>
      <c r="G3" s="12"/>
      <c r="H3" s="12" t="s">
        <v>499</v>
      </c>
      <c r="L3"/>
      <c r="M3"/>
    </row>
    <row r="4" spans="1:13" ht="15.75" thickBot="1">
      <c r="A4" s="8" t="s">
        <v>131</v>
      </c>
      <c r="B4" s="8"/>
      <c r="C4" s="8" t="s">
        <v>171</v>
      </c>
      <c r="D4" s="9" t="s">
        <v>41</v>
      </c>
      <c r="E4" s="9" t="s">
        <v>498</v>
      </c>
      <c r="F4" s="9" t="s">
        <v>501</v>
      </c>
      <c r="G4" s="9" t="s">
        <v>497</v>
      </c>
      <c r="H4" s="9" t="s">
        <v>500</v>
      </c>
      <c r="I4"/>
      <c r="L4"/>
      <c r="M4"/>
    </row>
    <row r="5" spans="1:13" ht="15">
      <c r="A5" s="46" t="s">
        <v>30</v>
      </c>
      <c r="D5" s="1">
        <v>2000000000</v>
      </c>
      <c r="E5" s="1">
        <f>+D5-H5</f>
        <v>1744814000</v>
      </c>
      <c r="F5" s="1">
        <f>+H5-G5</f>
        <v>161599000</v>
      </c>
      <c r="G5" s="1">
        <v>93587000</v>
      </c>
      <c r="H5" s="1">
        <v>255186000</v>
      </c>
      <c r="I5"/>
      <c r="L5"/>
      <c r="M5"/>
    </row>
    <row r="6" spans="1:13" ht="15">
      <c r="A6" s="1" t="s">
        <v>24</v>
      </c>
      <c r="C6" s="29">
        <f>+D35</f>
        <v>0.005000000225500367</v>
      </c>
      <c r="D6" s="1">
        <f>-D5*C6</f>
        <v>-10000000.451000733</v>
      </c>
      <c r="E6" s="1">
        <f>+D6</f>
        <v>-10000000.451000733</v>
      </c>
      <c r="F6" s="1">
        <v>0</v>
      </c>
      <c r="G6" s="1">
        <v>0</v>
      </c>
      <c r="H6" s="1">
        <v>0</v>
      </c>
      <c r="I6"/>
      <c r="J6"/>
      <c r="K6"/>
      <c r="L6"/>
      <c r="M6"/>
    </row>
    <row r="7" spans="1:13" ht="15">
      <c r="A7" s="1" t="s">
        <v>42</v>
      </c>
      <c r="C7" s="29">
        <f>+E35</f>
        <v>0.019999999932107417</v>
      </c>
      <c r="D7" s="1">
        <f>-D5*C7</f>
        <v>-39999999.86421483</v>
      </c>
      <c r="E7" s="1">
        <f>+D7</f>
        <v>-39999999.86421483</v>
      </c>
      <c r="F7" s="1">
        <v>0</v>
      </c>
      <c r="G7" s="1">
        <v>0</v>
      </c>
      <c r="H7" s="1">
        <v>0</v>
      </c>
      <c r="I7"/>
      <c r="J7"/>
      <c r="K7"/>
      <c r="L7"/>
      <c r="M7"/>
    </row>
    <row r="8" spans="1:13" ht="15">
      <c r="A8" s="1" t="s">
        <v>43</v>
      </c>
      <c r="C8" s="29">
        <v>0</v>
      </c>
      <c r="E8" s="1">
        <v>0</v>
      </c>
      <c r="F8" s="1">
        <v>0</v>
      </c>
      <c r="G8" s="1">
        <v>0</v>
      </c>
      <c r="H8" s="1">
        <v>0</v>
      </c>
      <c r="I8"/>
      <c r="J8"/>
      <c r="K8"/>
      <c r="L8"/>
      <c r="M8"/>
    </row>
    <row r="9" spans="1:13" ht="15">
      <c r="A9" s="1" t="s">
        <v>44</v>
      </c>
      <c r="C9" s="29">
        <v>0</v>
      </c>
      <c r="E9" s="1">
        <v>0</v>
      </c>
      <c r="F9" s="1">
        <v>0</v>
      </c>
      <c r="G9" s="1">
        <v>0</v>
      </c>
      <c r="H9" s="1">
        <v>0</v>
      </c>
      <c r="I9"/>
      <c r="J9"/>
      <c r="K9"/>
      <c r="L9"/>
      <c r="M9"/>
    </row>
    <row r="10" spans="1:13" ht="15">
      <c r="A10" s="1" t="s">
        <v>62</v>
      </c>
      <c r="C10" s="29">
        <v>0</v>
      </c>
      <c r="E10" s="1">
        <v>0</v>
      </c>
      <c r="F10" s="1">
        <v>0</v>
      </c>
      <c r="G10" s="1">
        <v>0</v>
      </c>
      <c r="H10" s="1">
        <v>0</v>
      </c>
      <c r="I10"/>
      <c r="J10"/>
      <c r="K10"/>
      <c r="L10"/>
      <c r="M10"/>
    </row>
    <row r="11" spans="1:13" ht="15">
      <c r="A11" s="5" t="s">
        <v>61</v>
      </c>
      <c r="B11" s="5"/>
      <c r="C11" s="5"/>
      <c r="D11" s="5">
        <f>SUM(D5:D10)</f>
        <v>1949999999.6847844</v>
      </c>
      <c r="E11" s="5">
        <f>SUM(E5:E10)</f>
        <v>1694813999.6847844</v>
      </c>
      <c r="F11" s="5">
        <f>SUM(F5:F10)</f>
        <v>161599000</v>
      </c>
      <c r="G11" s="5">
        <f>SUM(G5:G10)</f>
        <v>93587000</v>
      </c>
      <c r="H11" s="5">
        <f>SUM(H5:H10)</f>
        <v>255186000</v>
      </c>
      <c r="I11"/>
      <c r="J11"/>
      <c r="K11"/>
      <c r="L11"/>
      <c r="M11"/>
    </row>
    <row r="12" spans="8:13" ht="15">
      <c r="H12"/>
      <c r="I12"/>
      <c r="J12"/>
      <c r="K12"/>
      <c r="L12"/>
      <c r="M12"/>
    </row>
    <row r="13" spans="1:13" ht="15">
      <c r="A13" s="1" t="s">
        <v>13</v>
      </c>
      <c r="D13" s="10">
        <f>+K23</f>
        <v>0.009468090058294812</v>
      </c>
      <c r="E13" s="10">
        <f>+D13</f>
        <v>0.009468090058294812</v>
      </c>
      <c r="F13" s="10">
        <f>+E13</f>
        <v>0.009468090058294812</v>
      </c>
      <c r="G13" s="10">
        <f>+F13</f>
        <v>0.009468090058294812</v>
      </c>
      <c r="H13" s="10">
        <f>+G13</f>
        <v>0.009468090058294812</v>
      </c>
      <c r="I13"/>
      <c r="J13" s="10"/>
      <c r="K13" s="10"/>
      <c r="L13"/>
      <c r="M13"/>
    </row>
    <row r="14" spans="1:13" ht="15">
      <c r="A14" s="5" t="s">
        <v>63</v>
      </c>
      <c r="B14" s="5"/>
      <c r="C14" s="5"/>
      <c r="D14" s="5">
        <f>D11*D13</f>
        <v>18462775.610690393</v>
      </c>
      <c r="E14" s="5">
        <f>E11*E13</f>
        <v>16046651.581074374</v>
      </c>
      <c r="F14" s="5">
        <f>F11*F13</f>
        <v>1530033.8853303832</v>
      </c>
      <c r="G14" s="5">
        <f>G11*G13</f>
        <v>886090.1442856366</v>
      </c>
      <c r="H14" s="5">
        <f>H11*H13</f>
        <v>2416124.0296160197</v>
      </c>
      <c r="I14"/>
      <c r="J14" s="95"/>
      <c r="K14" s="95"/>
      <c r="L14"/>
      <c r="M14"/>
    </row>
    <row r="15" spans="1:13" ht="15.75" thickBot="1">
      <c r="A15" s="8" t="s">
        <v>502</v>
      </c>
      <c r="B15" s="8"/>
      <c r="C15" s="8"/>
      <c r="D15" s="8">
        <f>SUM(E15:G15)</f>
        <v>18463000</v>
      </c>
      <c r="E15" s="8">
        <f>ROUND(E14,-3)</f>
        <v>16047000</v>
      </c>
      <c r="F15" s="8">
        <f>ROUND(F14,-3)</f>
        <v>1530000</v>
      </c>
      <c r="G15" s="8">
        <f>ROUND(G14,-3)</f>
        <v>886000</v>
      </c>
      <c r="H15" s="114"/>
      <c r="I15"/>
      <c r="J15" s="95"/>
      <c r="K15" s="95"/>
      <c r="L15"/>
      <c r="M15"/>
    </row>
    <row r="19" spans="1:11" ht="15.75">
      <c r="A19" s="18" t="s">
        <v>52</v>
      </c>
      <c r="B19" s="5"/>
      <c r="C19" s="5"/>
      <c r="D19" s="5"/>
      <c r="E19" s="5"/>
      <c r="F19" s="12" t="s">
        <v>45</v>
      </c>
      <c r="G19" s="12" t="s">
        <v>47</v>
      </c>
      <c r="H19" s="12" t="s">
        <v>49</v>
      </c>
      <c r="I19" s="169" t="s">
        <v>133</v>
      </c>
      <c r="J19" s="34"/>
      <c r="K19" s="12" t="s">
        <v>12</v>
      </c>
    </row>
    <row r="20" spans="1:11" ht="15.75" thickBot="1">
      <c r="A20" s="8" t="s">
        <v>51</v>
      </c>
      <c r="B20" s="8"/>
      <c r="C20" s="9" t="s">
        <v>11</v>
      </c>
      <c r="D20" s="9" t="s">
        <v>24</v>
      </c>
      <c r="E20" s="9" t="s">
        <v>42</v>
      </c>
      <c r="F20" s="9" t="s">
        <v>46</v>
      </c>
      <c r="G20" s="9" t="s">
        <v>48</v>
      </c>
      <c r="H20" s="9" t="s">
        <v>60</v>
      </c>
      <c r="I20" s="32" t="s">
        <v>11</v>
      </c>
      <c r="J20" s="32" t="s">
        <v>12</v>
      </c>
      <c r="K20" s="9" t="s">
        <v>17</v>
      </c>
    </row>
    <row r="21" spans="1:11" ht="15">
      <c r="A21" s="1" t="s">
        <v>32</v>
      </c>
      <c r="C21" s="1">
        <v>1243157281</v>
      </c>
      <c r="D21" s="1">
        <v>0</v>
      </c>
      <c r="E21" s="1">
        <v>58340000</v>
      </c>
      <c r="F21" s="1">
        <v>7292500</v>
      </c>
      <c r="G21" s="1">
        <v>0</v>
      </c>
      <c r="H21" s="1">
        <v>0</v>
      </c>
      <c r="I21" s="103">
        <v>1177524781</v>
      </c>
      <c r="J21" s="103">
        <v>9811721</v>
      </c>
      <c r="K21" s="16">
        <f>+J21/I21</f>
        <v>0.008332496401194635</v>
      </c>
    </row>
    <row r="22" spans="1:11" ht="15">
      <c r="A22" s="1" t="s">
        <v>33</v>
      </c>
      <c r="C22" s="1">
        <v>1673842719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03">
        <v>1673842719</v>
      </c>
      <c r="J22" s="103">
        <v>15879664</v>
      </c>
      <c r="K22" s="16">
        <f aca="true" t="shared" si="0" ref="K22:K30">+J22/I22</f>
        <v>0.009486951085515938</v>
      </c>
    </row>
    <row r="23" spans="1:11" ht="15">
      <c r="A23" s="1" t="s">
        <v>58</v>
      </c>
      <c r="C23" s="1">
        <v>2062080907</v>
      </c>
      <c r="D23" s="1">
        <v>10310405</v>
      </c>
      <c r="E23" s="1">
        <v>41241618</v>
      </c>
      <c r="F23" s="1">
        <v>5155202</v>
      </c>
      <c r="G23" s="1">
        <v>964923</v>
      </c>
      <c r="H23" s="1">
        <v>9649427</v>
      </c>
      <c r="I23" s="103">
        <v>1994759332</v>
      </c>
      <c r="J23" s="103">
        <v>18886561</v>
      </c>
      <c r="K23" s="16">
        <f t="shared" si="0"/>
        <v>0.009468090058294812</v>
      </c>
    </row>
    <row r="24" spans="1:11" ht="15">
      <c r="A24" s="5" t="s">
        <v>53</v>
      </c>
      <c r="B24" s="5"/>
      <c r="C24" s="5">
        <f>SUM(C21:C23)</f>
        <v>4979080907</v>
      </c>
      <c r="D24" s="5">
        <f aca="true" t="shared" si="1" ref="D24:J24">SUM(D21:D23)</f>
        <v>10310405</v>
      </c>
      <c r="E24" s="5">
        <f t="shared" si="1"/>
        <v>99581618</v>
      </c>
      <c r="F24" s="5">
        <f t="shared" si="1"/>
        <v>12447702</v>
      </c>
      <c r="G24" s="5">
        <f t="shared" si="1"/>
        <v>964923</v>
      </c>
      <c r="H24" s="5">
        <f t="shared" si="1"/>
        <v>9649427</v>
      </c>
      <c r="I24" s="34">
        <f t="shared" si="1"/>
        <v>4846126832</v>
      </c>
      <c r="J24" s="34">
        <f t="shared" si="1"/>
        <v>44577946</v>
      </c>
      <c r="K24" s="19">
        <f t="shared" si="0"/>
        <v>0.009198675054404767</v>
      </c>
    </row>
    <row r="25" spans="9:11" ht="15">
      <c r="I25" s="103"/>
      <c r="J25" s="103"/>
      <c r="K25" s="16"/>
    </row>
    <row r="26" spans="1:11" ht="15.75">
      <c r="A26" s="4" t="s">
        <v>54</v>
      </c>
      <c r="I26" s="103"/>
      <c r="J26" s="103"/>
      <c r="K26" s="16"/>
    </row>
    <row r="27" spans="1:11" ht="15">
      <c r="A27" s="1" t="s">
        <v>55</v>
      </c>
      <c r="C27" s="1">
        <v>18449326</v>
      </c>
      <c r="D27" s="1">
        <v>87422</v>
      </c>
      <c r="E27" s="1">
        <v>349688</v>
      </c>
      <c r="F27" s="1">
        <v>0</v>
      </c>
      <c r="G27" s="1">
        <v>964923</v>
      </c>
      <c r="H27" s="1">
        <v>0</v>
      </c>
      <c r="I27" s="103">
        <v>17047293</v>
      </c>
      <c r="J27" s="103">
        <v>161405</v>
      </c>
      <c r="K27" s="16">
        <f t="shared" si="0"/>
        <v>0.009468072144944068</v>
      </c>
    </row>
    <row r="28" spans="1:11" ht="15">
      <c r="A28" s="1" t="s">
        <v>56</v>
      </c>
      <c r="C28" s="1">
        <v>166615196</v>
      </c>
      <c r="D28" s="1">
        <v>833076</v>
      </c>
      <c r="E28" s="1">
        <v>0</v>
      </c>
      <c r="F28" s="1">
        <v>0</v>
      </c>
      <c r="G28" s="1">
        <v>0</v>
      </c>
      <c r="H28" s="1">
        <v>0</v>
      </c>
      <c r="I28" s="103">
        <v>165782120</v>
      </c>
      <c r="J28" s="103">
        <v>1569640</v>
      </c>
      <c r="K28" s="16">
        <f t="shared" si="0"/>
        <v>0.009468089803653133</v>
      </c>
    </row>
    <row r="29" spans="1:11" ht="15">
      <c r="A29" s="1" t="s">
        <v>57</v>
      </c>
      <c r="C29" s="1">
        <v>96492305</v>
      </c>
      <c r="D29" s="1">
        <v>482462</v>
      </c>
      <c r="E29" s="1">
        <v>0</v>
      </c>
      <c r="F29" s="1">
        <v>0</v>
      </c>
      <c r="G29" s="1">
        <v>0</v>
      </c>
      <c r="H29" s="1">
        <v>0</v>
      </c>
      <c r="I29" s="103">
        <v>96009843</v>
      </c>
      <c r="J29" s="103">
        <v>909030</v>
      </c>
      <c r="K29" s="16">
        <f t="shared" si="0"/>
        <v>0.00946809172472035</v>
      </c>
    </row>
    <row r="30" spans="1:11" ht="15">
      <c r="A30" s="5" t="s">
        <v>59</v>
      </c>
      <c r="B30" s="5"/>
      <c r="C30" s="5">
        <f aca="true" t="shared" si="2" ref="C30:J30">SUM(C27:C29)</f>
        <v>281556827</v>
      </c>
      <c r="D30" s="5">
        <f t="shared" si="2"/>
        <v>1402960</v>
      </c>
      <c r="E30" s="5">
        <f t="shared" si="2"/>
        <v>349688</v>
      </c>
      <c r="F30" s="5">
        <f t="shared" si="2"/>
        <v>0</v>
      </c>
      <c r="G30" s="5">
        <f t="shared" si="2"/>
        <v>964923</v>
      </c>
      <c r="H30" s="5">
        <f t="shared" si="2"/>
        <v>0</v>
      </c>
      <c r="I30" s="34">
        <f t="shared" si="2"/>
        <v>278839256</v>
      </c>
      <c r="J30" s="34">
        <f t="shared" si="2"/>
        <v>2640075</v>
      </c>
      <c r="K30" s="19">
        <f t="shared" si="0"/>
        <v>0.00946808938552038</v>
      </c>
    </row>
    <row r="31" spans="9:10" ht="15">
      <c r="I31" s="103"/>
      <c r="J31" s="103"/>
    </row>
    <row r="32" spans="1:10" ht="15.75">
      <c r="A32" s="4" t="s">
        <v>50</v>
      </c>
      <c r="I32" s="103"/>
      <c r="J32" s="103"/>
    </row>
    <row r="33" spans="1:10" ht="15">
      <c r="A33" s="1" t="s">
        <v>32</v>
      </c>
      <c r="D33" s="1">
        <f aca="true" t="shared" si="3" ref="D33:H35">+D21/$C21</f>
        <v>0</v>
      </c>
      <c r="E33" s="16">
        <f t="shared" si="3"/>
        <v>0.04692889700414344</v>
      </c>
      <c r="F33" s="16">
        <f t="shared" si="3"/>
        <v>0.00586611212551793</v>
      </c>
      <c r="G33" s="1">
        <f t="shared" si="3"/>
        <v>0</v>
      </c>
      <c r="H33" s="1">
        <f t="shared" si="3"/>
        <v>0</v>
      </c>
      <c r="I33" s="103"/>
      <c r="J33" s="103"/>
    </row>
    <row r="34" spans="1:10" ht="15">
      <c r="A34" s="1" t="s">
        <v>33</v>
      </c>
      <c r="D34" s="1">
        <f t="shared" si="3"/>
        <v>0</v>
      </c>
      <c r="E34" s="1">
        <f t="shared" si="3"/>
        <v>0</v>
      </c>
      <c r="F34" s="1">
        <f t="shared" si="3"/>
        <v>0</v>
      </c>
      <c r="G34" s="1">
        <f t="shared" si="3"/>
        <v>0</v>
      </c>
      <c r="H34" s="1">
        <f t="shared" si="3"/>
        <v>0</v>
      </c>
      <c r="I34" s="103"/>
      <c r="J34" s="103"/>
    </row>
    <row r="35" spans="1:10" ht="15">
      <c r="A35" s="1" t="s">
        <v>37</v>
      </c>
      <c r="D35" s="16">
        <f t="shared" si="3"/>
        <v>0.005000000225500367</v>
      </c>
      <c r="E35" s="16">
        <f t="shared" si="3"/>
        <v>0.019999999932107417</v>
      </c>
      <c r="F35" s="16">
        <f t="shared" si="3"/>
        <v>0.0024999998702766708</v>
      </c>
      <c r="G35" s="16">
        <f t="shared" si="3"/>
        <v>0.00046793653766175915</v>
      </c>
      <c r="H35" s="16">
        <f t="shared" si="3"/>
        <v>0.004679460911181406</v>
      </c>
      <c r="I35" s="103"/>
      <c r="J35" s="103"/>
    </row>
    <row r="36" spans="1:10" ht="15">
      <c r="A36" s="1" t="s">
        <v>38</v>
      </c>
      <c r="D36" s="16">
        <f aca="true" t="shared" si="4" ref="D36:H38">+D27/$C27</f>
        <v>0.004738492885864773</v>
      </c>
      <c r="E36" s="16">
        <f t="shared" si="4"/>
        <v>0.018953971543459094</v>
      </c>
      <c r="F36" s="1">
        <f t="shared" si="4"/>
        <v>0</v>
      </c>
      <c r="G36" s="16">
        <f t="shared" si="4"/>
        <v>0.05230126021947902</v>
      </c>
      <c r="H36" s="1">
        <f t="shared" si="4"/>
        <v>0</v>
      </c>
      <c r="I36" s="103"/>
      <c r="J36" s="103"/>
    </row>
    <row r="37" spans="1:10" ht="15">
      <c r="A37" s="1" t="s">
        <v>39</v>
      </c>
      <c r="D37" s="16">
        <f t="shared" si="4"/>
        <v>0.005000000120037071</v>
      </c>
      <c r="E37" s="1">
        <f t="shared" si="4"/>
        <v>0</v>
      </c>
      <c r="F37" s="1">
        <f t="shared" si="4"/>
        <v>0</v>
      </c>
      <c r="G37" s="1">
        <f t="shared" si="4"/>
        <v>0</v>
      </c>
      <c r="H37" s="1">
        <f t="shared" si="4"/>
        <v>0</v>
      </c>
      <c r="I37" s="103"/>
      <c r="J37" s="103"/>
    </row>
    <row r="38" spans="1:11" ht="15.75" thickBot="1">
      <c r="A38" s="8" t="s">
        <v>40</v>
      </c>
      <c r="B38" s="8"/>
      <c r="C38" s="8"/>
      <c r="D38" s="45">
        <f t="shared" si="4"/>
        <v>0.0050000049226723315</v>
      </c>
      <c r="E38" s="8">
        <f t="shared" si="4"/>
        <v>0</v>
      </c>
      <c r="F38" s="8">
        <f t="shared" si="4"/>
        <v>0</v>
      </c>
      <c r="G38" s="8">
        <f t="shared" si="4"/>
        <v>0</v>
      </c>
      <c r="H38" s="8">
        <f t="shared" si="4"/>
        <v>0</v>
      </c>
      <c r="I38" s="170"/>
      <c r="J38" s="170"/>
      <c r="K38" s="8"/>
    </row>
    <row r="39" spans="9:10" ht="15">
      <c r="I39" s="103"/>
      <c r="J39" s="103"/>
    </row>
    <row r="40" spans="1:10" ht="15">
      <c r="A40" s="1" t="s">
        <v>34</v>
      </c>
      <c r="C40" s="1">
        <v>887607151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03">
        <v>887607151</v>
      </c>
      <c r="J40" s="103">
        <v>6673024</v>
      </c>
    </row>
    <row r="41" spans="1:10" ht="15">
      <c r="A41" s="1" t="s">
        <v>36</v>
      </c>
      <c r="C41" s="1">
        <v>1280981701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03">
        <v>1280981701</v>
      </c>
      <c r="J41" s="103">
        <v>10551202</v>
      </c>
    </row>
    <row r="42" spans="1:11" ht="15.75" thickBot="1">
      <c r="A42" s="8" t="s">
        <v>35</v>
      </c>
      <c r="B42" s="8"/>
      <c r="C42" s="8"/>
      <c r="D42" s="8"/>
      <c r="E42" s="8"/>
      <c r="F42" s="8"/>
      <c r="G42" s="8"/>
      <c r="H42" s="8"/>
      <c r="I42" s="170"/>
      <c r="J42" s="171">
        <v>0.6008</v>
      </c>
      <c r="K4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zoomScale="70" zoomScaleNormal="70" zoomScalePageLayoutView="0" workbookViewId="0" topLeftCell="A4">
      <selection activeCell="A1" sqref="A1"/>
    </sheetView>
  </sheetViews>
  <sheetFormatPr defaultColWidth="8.88671875" defaultRowHeight="15"/>
  <cols>
    <col min="1" max="1" width="30.4453125" style="0" customWidth="1"/>
    <col min="2" max="2" width="14.5546875" style="0" customWidth="1"/>
    <col min="3" max="4" width="12.3359375" style="0" customWidth="1"/>
  </cols>
  <sheetData>
    <row r="1" ht="15.75">
      <c r="A1" s="13" t="s">
        <v>200</v>
      </c>
    </row>
    <row r="3" spans="1:4" ht="15.75">
      <c r="A3" s="13" t="s">
        <v>172</v>
      </c>
      <c r="B3" s="47" t="s">
        <v>173</v>
      </c>
      <c r="C3" s="47" t="s">
        <v>174</v>
      </c>
      <c r="D3" s="47" t="s">
        <v>175</v>
      </c>
    </row>
    <row r="4" spans="2:4" ht="15.75">
      <c r="B4" s="48" t="s">
        <v>176</v>
      </c>
      <c r="C4" s="48" t="s">
        <v>177</v>
      </c>
      <c r="D4" s="48" t="s">
        <v>177</v>
      </c>
    </row>
    <row r="5" spans="1:4" ht="15">
      <c r="A5" t="str">
        <f>'[1]State-by-State'!A80</f>
        <v>Vocational Rehabilitation State Grants</v>
      </c>
      <c r="B5" s="49">
        <v>2818444467</v>
      </c>
      <c r="C5" s="49">
        <v>540000000</v>
      </c>
      <c r="D5" s="49">
        <v>270000000</v>
      </c>
    </row>
    <row r="6" spans="1:4" ht="15">
      <c r="A6" t="str">
        <f>'[1]State-by-State'!A83</f>
        <v>Supported Employment State Grants</v>
      </c>
      <c r="B6" s="49">
        <v>0</v>
      </c>
      <c r="C6" s="49">
        <v>0</v>
      </c>
      <c r="D6" s="49">
        <v>0</v>
      </c>
    </row>
    <row r="7" spans="1:4" ht="15">
      <c r="A7" t="str">
        <f>'[1]State-by-State'!A84</f>
        <v>Independent Living State Grants</v>
      </c>
      <c r="B7" s="49">
        <v>22193000</v>
      </c>
      <c r="C7" s="49">
        <v>18200000</v>
      </c>
      <c r="D7" s="49">
        <v>9100000</v>
      </c>
    </row>
    <row r="8" spans="1:4" ht="15">
      <c r="A8" t="str">
        <f>'[1]State-by-State'!A85</f>
        <v>Services for Older Blind Individuals</v>
      </c>
      <c r="B8" s="49">
        <v>32320000</v>
      </c>
      <c r="C8" s="49">
        <v>34300000</v>
      </c>
      <c r="D8" s="49">
        <v>17150000</v>
      </c>
    </row>
    <row r="9" spans="1:4" ht="15">
      <c r="A9" t="s">
        <v>178</v>
      </c>
      <c r="B9" s="50">
        <v>73334074</v>
      </c>
      <c r="C9" s="50">
        <v>87500000</v>
      </c>
      <c r="D9" s="50">
        <v>43750000</v>
      </c>
    </row>
    <row r="10" spans="1:4" ht="15.75">
      <c r="A10" s="13" t="s">
        <v>11</v>
      </c>
      <c r="B10" s="49">
        <f>SUM(B5:B9)</f>
        <v>2946291541</v>
      </c>
      <c r="C10" s="49">
        <f>SUM(C5:C9)</f>
        <v>680000000</v>
      </c>
      <c r="D10" s="49">
        <f>SUM(D5:D9)</f>
        <v>340000000</v>
      </c>
    </row>
    <row r="12" spans="1:4" ht="15.75">
      <c r="A12" s="13" t="s">
        <v>179</v>
      </c>
      <c r="B12" s="47" t="s">
        <v>173</v>
      </c>
      <c r="C12" s="47" t="s">
        <v>180</v>
      </c>
      <c r="D12" s="47" t="s">
        <v>181</v>
      </c>
    </row>
    <row r="13" spans="2:4" ht="15.75">
      <c r="B13" s="48" t="s">
        <v>176</v>
      </c>
      <c r="C13" s="48" t="s">
        <v>176</v>
      </c>
      <c r="D13" s="48" t="s">
        <v>176</v>
      </c>
    </row>
    <row r="14" spans="1:4" ht="15">
      <c r="A14" t="str">
        <f>'[1]State-by-State'!A18</f>
        <v>Vocational Rehabilitation State Grants</v>
      </c>
      <c r="B14" s="49">
        <v>27474768</v>
      </c>
      <c r="C14" s="49">
        <v>28108666</v>
      </c>
      <c r="D14" s="49">
        <v>28757189</v>
      </c>
    </row>
    <row r="15" spans="1:4" ht="15">
      <c r="A15" t="str">
        <f>'[1]State-by-State'!A21</f>
        <v>Supported Employment State Grants</v>
      </c>
      <c r="B15" s="49">
        <v>300000</v>
      </c>
      <c r="C15" s="49">
        <v>300000</v>
      </c>
      <c r="D15" s="49">
        <v>300000</v>
      </c>
    </row>
    <row r="16" spans="1:4" ht="15">
      <c r="A16" t="str">
        <f>'[1]State-by-State'!A22</f>
        <v>Independent Living State Grants</v>
      </c>
      <c r="B16" s="49">
        <v>296207</v>
      </c>
      <c r="C16" s="49">
        <v>296207</v>
      </c>
      <c r="D16" s="49">
        <v>296207</v>
      </c>
    </row>
    <row r="17" spans="1:4" ht="15">
      <c r="A17" t="str">
        <f>'[1]State-by-State'!A23</f>
        <v>Services for Older Blind Individuals</v>
      </c>
      <c r="B17" s="49">
        <v>276409</v>
      </c>
      <c r="C17" s="49">
        <v>276409</v>
      </c>
      <c r="D17" s="49">
        <v>276409</v>
      </c>
    </row>
    <row r="18" spans="1:4" ht="15">
      <c r="A18" t="s">
        <v>178</v>
      </c>
      <c r="B18" s="50">
        <v>782633</v>
      </c>
      <c r="C18" s="50">
        <v>782633</v>
      </c>
      <c r="D18" s="50">
        <v>782633</v>
      </c>
    </row>
    <row r="19" spans="1:4" ht="15.75">
      <c r="A19" s="13" t="s">
        <v>11</v>
      </c>
      <c r="B19" s="49">
        <f>SUM(B14:B18)</f>
        <v>29130017</v>
      </c>
      <c r="C19" s="49">
        <f>SUM(C14:C18)</f>
        <v>29763915</v>
      </c>
      <c r="D19" s="49">
        <f>SUM(D14:D18)</f>
        <v>30412438</v>
      </c>
    </row>
    <row r="21" spans="1:4" ht="15.75">
      <c r="A21" s="13" t="s">
        <v>182</v>
      </c>
      <c r="B21" s="47" t="s">
        <v>173</v>
      </c>
      <c r="C21" s="47" t="s">
        <v>180</v>
      </c>
      <c r="D21" s="47" t="s">
        <v>181</v>
      </c>
    </row>
    <row r="22" spans="2:4" ht="15.75">
      <c r="B22" s="48" t="s">
        <v>176</v>
      </c>
      <c r="C22" s="48" t="s">
        <v>176</v>
      </c>
      <c r="D22" s="48" t="s">
        <v>176</v>
      </c>
    </row>
    <row r="23" spans="1:4" ht="15">
      <c r="A23" t="s">
        <v>135</v>
      </c>
      <c r="B23" s="49">
        <v>0</v>
      </c>
      <c r="C23" s="49">
        <v>2554377</v>
      </c>
      <c r="D23" s="49">
        <v>2554376</v>
      </c>
    </row>
    <row r="24" spans="1:4" ht="15">
      <c r="A24" t="s">
        <v>136</v>
      </c>
      <c r="B24" s="49">
        <v>0</v>
      </c>
      <c r="C24" s="49">
        <v>0</v>
      </c>
      <c r="D24" s="49">
        <v>0</v>
      </c>
    </row>
    <row r="25" spans="1:4" ht="15">
      <c r="A25" t="s">
        <v>137</v>
      </c>
      <c r="B25" s="49">
        <v>0</v>
      </c>
      <c r="C25" s="49">
        <v>121457</v>
      </c>
      <c r="D25" s="49">
        <v>121456</v>
      </c>
    </row>
    <row r="26" spans="1:4" ht="15">
      <c r="A26" t="s">
        <v>138</v>
      </c>
      <c r="B26" s="49">
        <v>0</v>
      </c>
      <c r="C26" s="49">
        <v>160684</v>
      </c>
      <c r="D26" s="49">
        <v>160684</v>
      </c>
    </row>
    <row r="27" spans="1:4" ht="15">
      <c r="A27" t="s">
        <v>178</v>
      </c>
      <c r="B27" s="50">
        <v>0</v>
      </c>
      <c r="C27" s="50">
        <v>466907</v>
      </c>
      <c r="D27" s="50">
        <v>466907</v>
      </c>
    </row>
    <row r="28" spans="1:4" ht="15.75">
      <c r="A28" s="13" t="s">
        <v>11</v>
      </c>
      <c r="B28" s="49">
        <f>SUM(B23:B27)</f>
        <v>0</v>
      </c>
      <c r="C28" s="49">
        <f>SUM(C23:C27)</f>
        <v>3303425</v>
      </c>
      <c r="D28" s="49">
        <f>SUM(D23:D27)</f>
        <v>3303423</v>
      </c>
    </row>
    <row r="30" spans="1:4" ht="15.75">
      <c r="A30" s="13" t="s">
        <v>183</v>
      </c>
      <c r="B30" s="47" t="s">
        <v>173</v>
      </c>
      <c r="C30" s="47" t="s">
        <v>180</v>
      </c>
      <c r="D30" s="47" t="s">
        <v>181</v>
      </c>
    </row>
    <row r="31" spans="2:4" ht="15.75">
      <c r="B31" s="48" t="s">
        <v>176</v>
      </c>
      <c r="C31" s="48" t="s">
        <v>176</v>
      </c>
      <c r="D31" s="48" t="s">
        <v>176</v>
      </c>
    </row>
    <row r="32" spans="1:4" ht="15">
      <c r="A32" t="s">
        <v>135</v>
      </c>
      <c r="B32" s="49">
        <f aca="true" t="shared" si="0" ref="B32:D36">B14+B23</f>
        <v>27474768</v>
      </c>
      <c r="C32" s="49">
        <f t="shared" si="0"/>
        <v>30663043</v>
      </c>
      <c r="D32" s="49">
        <f t="shared" si="0"/>
        <v>31311565</v>
      </c>
    </row>
    <row r="33" spans="1:4" ht="15">
      <c r="A33" t="s">
        <v>136</v>
      </c>
      <c r="B33" s="49">
        <f t="shared" si="0"/>
        <v>300000</v>
      </c>
      <c r="C33" s="49">
        <f t="shared" si="0"/>
        <v>300000</v>
      </c>
      <c r="D33" s="49">
        <f t="shared" si="0"/>
        <v>300000</v>
      </c>
    </row>
    <row r="34" spans="1:4" ht="15">
      <c r="A34" t="s">
        <v>137</v>
      </c>
      <c r="B34" s="49">
        <f t="shared" si="0"/>
        <v>296207</v>
      </c>
      <c r="C34" s="49">
        <f t="shared" si="0"/>
        <v>417664</v>
      </c>
      <c r="D34" s="49">
        <f t="shared" si="0"/>
        <v>417663</v>
      </c>
    </row>
    <row r="35" spans="1:4" ht="15">
      <c r="A35" t="s">
        <v>138</v>
      </c>
      <c r="B35" s="49">
        <f t="shared" si="0"/>
        <v>276409</v>
      </c>
      <c r="C35" s="49">
        <f t="shared" si="0"/>
        <v>437093</v>
      </c>
      <c r="D35" s="49">
        <f t="shared" si="0"/>
        <v>437093</v>
      </c>
    </row>
    <row r="36" spans="1:4" ht="15">
      <c r="A36" t="s">
        <v>178</v>
      </c>
      <c r="B36" s="50">
        <f t="shared" si="0"/>
        <v>782633</v>
      </c>
      <c r="C36" s="50">
        <f t="shared" si="0"/>
        <v>1249540</v>
      </c>
      <c r="D36" s="50">
        <f t="shared" si="0"/>
        <v>1249540</v>
      </c>
    </row>
    <row r="37" spans="1:4" ht="15.75">
      <c r="A37" s="13" t="s">
        <v>11</v>
      </c>
      <c r="B37" s="49">
        <f>SUM(B32:B36)</f>
        <v>29130017</v>
      </c>
      <c r="C37" s="49">
        <f>SUM(C32:C36)</f>
        <v>33067340</v>
      </c>
      <c r="D37" s="49">
        <f>SUM(D32:D36)</f>
        <v>33715861</v>
      </c>
    </row>
    <row r="39" ht="15.75">
      <c r="A39" s="13" t="s">
        <v>184</v>
      </c>
    </row>
    <row r="40" ht="15">
      <c r="A40" s="1" t="s">
        <v>185</v>
      </c>
    </row>
    <row r="41" ht="15">
      <c r="A41" s="1" t="s">
        <v>186</v>
      </c>
    </row>
    <row r="42" ht="15">
      <c r="A42" s="1" t="s">
        <v>187</v>
      </c>
    </row>
    <row r="43" ht="15">
      <c r="A43" s="1" t="s">
        <v>188</v>
      </c>
    </row>
    <row r="44" ht="15">
      <c r="A44" s="1" t="s">
        <v>189</v>
      </c>
    </row>
    <row r="45" ht="15">
      <c r="A45" s="1" t="s">
        <v>190</v>
      </c>
    </row>
    <row r="46" ht="15">
      <c r="A46" s="1" t="s">
        <v>191</v>
      </c>
    </row>
    <row r="47" ht="15">
      <c r="A47" s="1" t="s">
        <v>426</v>
      </c>
    </row>
    <row r="48" ht="15">
      <c r="A48" s="1" t="s">
        <v>192</v>
      </c>
    </row>
    <row r="49" ht="15">
      <c r="A49" s="1"/>
    </row>
    <row r="50" ht="15.75">
      <c r="A50" s="13" t="s">
        <v>193</v>
      </c>
    </row>
    <row r="51" ht="15">
      <c r="A51" t="s">
        <v>194</v>
      </c>
    </row>
    <row r="52" ht="15">
      <c r="A52" t="s">
        <v>195</v>
      </c>
    </row>
    <row r="54" ht="15">
      <c r="A54" t="s">
        <v>196</v>
      </c>
    </row>
    <row r="55" spans="2:4" ht="15">
      <c r="B55" t="s">
        <v>197</v>
      </c>
      <c r="C55" t="s">
        <v>12</v>
      </c>
      <c r="D55" t="s">
        <v>12</v>
      </c>
    </row>
    <row r="56" spans="2:4" ht="15">
      <c r="B56" t="s">
        <v>174</v>
      </c>
      <c r="C56" t="s">
        <v>174</v>
      </c>
      <c r="D56" t="s">
        <v>198</v>
      </c>
    </row>
    <row r="57" spans="2:4" ht="15">
      <c r="B57" t="s">
        <v>177</v>
      </c>
      <c r="C57" t="s">
        <v>177</v>
      </c>
      <c r="D57" t="s">
        <v>177</v>
      </c>
    </row>
    <row r="58" spans="2:4" ht="15">
      <c r="B58" t="s">
        <v>176</v>
      </c>
      <c r="C58" t="s">
        <v>176</v>
      </c>
      <c r="D58" t="s">
        <v>199</v>
      </c>
    </row>
    <row r="59" spans="1:4" ht="15">
      <c r="A59" t="s">
        <v>135</v>
      </c>
      <c r="B59" s="49">
        <f>C5</f>
        <v>540000000</v>
      </c>
      <c r="C59" s="49">
        <f>SUM(C23:D23)</f>
        <v>5108753</v>
      </c>
      <c r="D59" s="51">
        <f aca="true" t="shared" si="1" ref="D59:D64">IF(B59=0,"N/A",ROUND(C59/B59,5))</f>
        <v>0.00946</v>
      </c>
    </row>
    <row r="60" spans="1:4" ht="15">
      <c r="A60" t="s">
        <v>136</v>
      </c>
      <c r="B60" s="49">
        <f>C6</f>
        <v>0</v>
      </c>
      <c r="C60" s="49">
        <f>SUM(C24:D24)</f>
        <v>0</v>
      </c>
      <c r="D60" s="52" t="str">
        <f t="shared" si="1"/>
        <v>N/A</v>
      </c>
    </row>
    <row r="61" spans="1:4" ht="15">
      <c r="A61" t="s">
        <v>137</v>
      </c>
      <c r="B61" s="49">
        <f>C7</f>
        <v>18200000</v>
      </c>
      <c r="C61" s="49">
        <f>SUM(C25:D25)</f>
        <v>242913</v>
      </c>
      <c r="D61" s="51">
        <f t="shared" si="1"/>
        <v>0.01335</v>
      </c>
    </row>
    <row r="62" spans="1:4" ht="15">
      <c r="A62" t="s">
        <v>138</v>
      </c>
      <c r="B62" s="49">
        <f>C8</f>
        <v>34300000</v>
      </c>
      <c r="C62" s="49">
        <f>SUM(C26:D26)</f>
        <v>321368</v>
      </c>
      <c r="D62" s="51">
        <f t="shared" si="1"/>
        <v>0.00937</v>
      </c>
    </row>
    <row r="63" spans="1:4" ht="15">
      <c r="A63" t="s">
        <v>178</v>
      </c>
      <c r="B63" s="50">
        <f>C9</f>
        <v>87500000</v>
      </c>
      <c r="C63" s="50">
        <f>SUM(C27:D27)</f>
        <v>933814</v>
      </c>
      <c r="D63" s="53">
        <f t="shared" si="1"/>
        <v>0.01067</v>
      </c>
    </row>
    <row r="64" spans="1:4" ht="15.75">
      <c r="A64" s="13" t="s">
        <v>11</v>
      </c>
      <c r="B64" s="49">
        <f>SUM(B59:B63)</f>
        <v>680000000</v>
      </c>
      <c r="C64" s="49">
        <f>SUM(C59:C63)</f>
        <v>6606848</v>
      </c>
      <c r="D64" s="51">
        <f t="shared" si="1"/>
        <v>0.00972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1"/>
  <sheetViews>
    <sheetView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2" width="8.88671875" style="1" customWidth="1"/>
    <col min="3" max="7" width="10.99609375" style="1" bestFit="1" customWidth="1"/>
    <col min="8" max="8" width="13.5546875" style="1" bestFit="1" customWidth="1"/>
    <col min="9" max="9" width="10.10546875" style="1" bestFit="1" customWidth="1"/>
    <col min="10" max="10" width="8.99609375" style="1" bestFit="1" customWidth="1"/>
    <col min="11" max="11" width="9.99609375" style="1" bestFit="1" customWidth="1"/>
    <col min="12" max="12" width="8.88671875" style="1" customWidth="1"/>
    <col min="13" max="13" width="9.99609375" style="1" bestFit="1" customWidth="1"/>
    <col min="14" max="15" width="8.88671875" style="1" customWidth="1"/>
    <col min="16" max="16" width="11.99609375" style="1" bestFit="1" customWidth="1"/>
    <col min="17" max="18" width="8.88671875" style="1" customWidth="1"/>
    <col min="19" max="19" width="11.99609375" style="1" bestFit="1" customWidth="1"/>
    <col min="20" max="21" width="8.88671875" style="1" customWidth="1"/>
    <col min="22" max="22" width="10.88671875" style="1" customWidth="1"/>
    <col min="23" max="16384" width="8.88671875" style="1" customWidth="1"/>
  </cols>
  <sheetData>
    <row r="1" ht="15.75">
      <c r="A1" s="4" t="s">
        <v>423</v>
      </c>
    </row>
    <row r="2" ht="15">
      <c r="A2" s="1" t="s">
        <v>343</v>
      </c>
    </row>
    <row r="6" spans="7:11" ht="15">
      <c r="G6" s="5"/>
      <c r="H6" s="12" t="s">
        <v>402</v>
      </c>
      <c r="I6" s="12" t="s">
        <v>12</v>
      </c>
      <c r="J6" s="12" t="s">
        <v>12</v>
      </c>
      <c r="K6" s="12" t="s">
        <v>404</v>
      </c>
    </row>
    <row r="7" spans="1:11" ht="16.5" thickBot="1">
      <c r="A7" s="4" t="s">
        <v>274</v>
      </c>
      <c r="G7" s="8" t="s">
        <v>400</v>
      </c>
      <c r="H7" s="9" t="s">
        <v>403</v>
      </c>
      <c r="I7" s="9" t="s">
        <v>403</v>
      </c>
      <c r="J7" s="9" t="s">
        <v>17</v>
      </c>
      <c r="K7" s="9" t="s">
        <v>405</v>
      </c>
    </row>
    <row r="8" spans="1:11" ht="15">
      <c r="A8" s="1" t="s">
        <v>275</v>
      </c>
      <c r="G8" s="3" t="s">
        <v>350</v>
      </c>
      <c r="H8" s="1">
        <f>+I88*1000</f>
        <v>7001000</v>
      </c>
      <c r="I8" s="1">
        <f>+I105*1000</f>
        <v>64000</v>
      </c>
      <c r="J8" s="105">
        <f>+I8/H8</f>
        <v>0.009141551206970433</v>
      </c>
      <c r="K8" s="1">
        <f>+J8*400000000</f>
        <v>3656620.4827881735</v>
      </c>
    </row>
    <row r="9" spans="1:11" ht="15">
      <c r="A9" s="1" t="s">
        <v>276</v>
      </c>
      <c r="G9" s="3" t="s">
        <v>335</v>
      </c>
      <c r="H9" s="1">
        <f>+J88*1000</f>
        <v>7078000</v>
      </c>
      <c r="I9" s="1">
        <f>+J105*1000</f>
        <v>60000</v>
      </c>
      <c r="J9" s="105">
        <f>+I9/H9</f>
        <v>0.008476970895733259</v>
      </c>
      <c r="K9" s="1">
        <f>+J9*400000000</f>
        <v>3390788.3582933033</v>
      </c>
    </row>
    <row r="10" spans="1:11" ht="15">
      <c r="A10" s="1" t="s">
        <v>277</v>
      </c>
      <c r="G10" s="3" t="s">
        <v>401</v>
      </c>
      <c r="H10" s="1">
        <f>AVERAGE(G78:I78)*1000</f>
        <v>10984233.333333332</v>
      </c>
      <c r="I10" s="1">
        <f>AVERAGE(G41:I41)*1000</f>
        <v>75166.66666666667</v>
      </c>
      <c r="J10" s="105">
        <f>+I10/H10</f>
        <v>0.006843141836632508</v>
      </c>
      <c r="K10" s="1">
        <f>+J10*400000000</f>
        <v>2737256.734653003</v>
      </c>
    </row>
    <row r="11" spans="1:11" ht="15">
      <c r="A11" s="1" t="s">
        <v>278</v>
      </c>
      <c r="G11" s="3" t="s">
        <v>237</v>
      </c>
      <c r="H11" s="1">
        <f>+I78*1000</f>
        <v>11871000</v>
      </c>
      <c r="I11" s="1">
        <f>+I41*1000</f>
        <v>78600</v>
      </c>
      <c r="J11" s="105">
        <f>+I11/H11</f>
        <v>0.006621177659843316</v>
      </c>
      <c r="K11" s="1">
        <f>+J11*400000000</f>
        <v>2648471.0639373264</v>
      </c>
    </row>
    <row r="12" ht="15">
      <c r="A12" s="1" t="s">
        <v>279</v>
      </c>
    </row>
    <row r="13" spans="1:11" ht="15.75" thickBot="1">
      <c r="A13" s="1" t="s">
        <v>280</v>
      </c>
      <c r="G13" s="8" t="str">
        <f>+G10</f>
        <v>Oct-Dec 2008</v>
      </c>
      <c r="H13" s="8"/>
      <c r="I13" s="8"/>
      <c r="J13" s="8"/>
      <c r="K13" s="8">
        <f>+K10</f>
        <v>2737256.734653003</v>
      </c>
    </row>
    <row r="14" ht="15">
      <c r="A14" s="1" t="s">
        <v>281</v>
      </c>
    </row>
    <row r="16" spans="1:3" ht="15">
      <c r="A16" s="1" t="s">
        <v>63</v>
      </c>
      <c r="C16" s="1">
        <f>ROUND(V41,-4)</f>
        <v>0</v>
      </c>
    </row>
    <row r="18" ht="15.75">
      <c r="A18" s="4" t="s">
        <v>341</v>
      </c>
    </row>
    <row r="19" ht="15.75">
      <c r="A19" s="13" t="s">
        <v>340</v>
      </c>
    </row>
    <row r="20" ht="16.5">
      <c r="A20" s="104" t="s">
        <v>342</v>
      </c>
    </row>
    <row r="21" ht="16.5">
      <c r="A21" s="97"/>
    </row>
    <row r="22" spans="1:13" ht="16.5">
      <c r="A22" s="98"/>
      <c r="B22" s="183" t="s">
        <v>337</v>
      </c>
      <c r="C22" s="183"/>
      <c r="D22" s="183"/>
      <c r="E22" s="183"/>
      <c r="F22" s="184" t="s">
        <v>338</v>
      </c>
      <c r="G22" s="183"/>
      <c r="H22" s="183"/>
      <c r="I22" s="183"/>
      <c r="J22" s="184" t="s">
        <v>339</v>
      </c>
      <c r="K22" s="183"/>
      <c r="L22" s="183"/>
      <c r="M22" s="183"/>
    </row>
    <row r="23" spans="1:13" ht="16.5">
      <c r="A23" s="99"/>
      <c r="B23" s="25" t="s">
        <v>220</v>
      </c>
      <c r="C23" s="25" t="s">
        <v>218</v>
      </c>
      <c r="D23" s="25" t="s">
        <v>219</v>
      </c>
      <c r="E23" s="25" t="s">
        <v>220</v>
      </c>
      <c r="F23" s="101" t="s">
        <v>220</v>
      </c>
      <c r="G23" s="25" t="s">
        <v>218</v>
      </c>
      <c r="H23" s="25" t="s">
        <v>219</v>
      </c>
      <c r="I23" s="25" t="s">
        <v>220</v>
      </c>
      <c r="J23" s="101" t="s">
        <v>220</v>
      </c>
      <c r="K23" s="25" t="s">
        <v>218</v>
      </c>
      <c r="L23" s="25" t="s">
        <v>219</v>
      </c>
      <c r="M23" s="25" t="s">
        <v>220</v>
      </c>
    </row>
    <row r="24" spans="1:13" ht="17.25" thickBot="1">
      <c r="A24" s="100" t="s">
        <v>133</v>
      </c>
      <c r="B24" s="42" t="s">
        <v>335</v>
      </c>
      <c r="C24" s="42" t="s">
        <v>143</v>
      </c>
      <c r="D24" s="42" t="s">
        <v>143</v>
      </c>
      <c r="E24" s="42" t="s">
        <v>336</v>
      </c>
      <c r="F24" s="102" t="s">
        <v>335</v>
      </c>
      <c r="G24" s="42" t="s">
        <v>143</v>
      </c>
      <c r="H24" s="42" t="s">
        <v>143</v>
      </c>
      <c r="I24" s="42" t="s">
        <v>336</v>
      </c>
      <c r="J24" s="102" t="s">
        <v>335</v>
      </c>
      <c r="K24" s="42" t="s">
        <v>143</v>
      </c>
      <c r="L24" s="42" t="s">
        <v>143</v>
      </c>
      <c r="M24" s="42" t="s">
        <v>336</v>
      </c>
    </row>
    <row r="25" spans="1:13" ht="16.5">
      <c r="A25" s="97" t="s">
        <v>282</v>
      </c>
      <c r="B25" s="1">
        <v>2194</v>
      </c>
      <c r="C25" s="1">
        <v>2172</v>
      </c>
      <c r="D25" s="1">
        <v>2162.2</v>
      </c>
      <c r="E25" s="1">
        <v>2153.7</v>
      </c>
      <c r="F25" s="103">
        <v>82.2</v>
      </c>
      <c r="G25" s="15">
        <v>120.5</v>
      </c>
      <c r="H25" s="15">
        <v>130.6</v>
      </c>
      <c r="I25" s="15">
        <v>144.1</v>
      </c>
      <c r="J25" s="124">
        <v>3.7</v>
      </c>
      <c r="K25" s="125">
        <v>5.5</v>
      </c>
      <c r="L25" s="125">
        <v>6</v>
      </c>
      <c r="M25" s="125">
        <v>6.7</v>
      </c>
    </row>
    <row r="26" spans="1:13" ht="16.5">
      <c r="A26" s="97" t="s">
        <v>283</v>
      </c>
      <c r="B26" s="1">
        <v>353.6</v>
      </c>
      <c r="C26" s="1">
        <v>360.5</v>
      </c>
      <c r="D26" s="1">
        <v>360.3</v>
      </c>
      <c r="E26" s="1">
        <v>362</v>
      </c>
      <c r="F26" s="103">
        <v>22.3</v>
      </c>
      <c r="G26" s="15">
        <v>26.1</v>
      </c>
      <c r="H26" s="15">
        <v>25.9</v>
      </c>
      <c r="I26" s="15">
        <v>27.3</v>
      </c>
      <c r="J26" s="124">
        <v>6.3</v>
      </c>
      <c r="K26" s="125">
        <v>7.2</v>
      </c>
      <c r="L26" s="125">
        <v>7.2</v>
      </c>
      <c r="M26" s="125">
        <v>7.5</v>
      </c>
    </row>
    <row r="27" spans="1:13" ht="16.5">
      <c r="A27" s="97" t="s">
        <v>284</v>
      </c>
      <c r="B27" s="1">
        <v>3060.2</v>
      </c>
      <c r="C27" s="1">
        <v>3149.7</v>
      </c>
      <c r="D27" s="1">
        <v>3145.1</v>
      </c>
      <c r="E27" s="1">
        <v>3165.7</v>
      </c>
      <c r="F27" s="103">
        <v>127.8</v>
      </c>
      <c r="G27" s="15">
        <v>191.6</v>
      </c>
      <c r="H27" s="15">
        <v>199</v>
      </c>
      <c r="I27" s="15">
        <v>219.8</v>
      </c>
      <c r="J27" s="124">
        <v>4.2</v>
      </c>
      <c r="K27" s="125">
        <v>6.1</v>
      </c>
      <c r="L27" s="125">
        <v>6.3</v>
      </c>
      <c r="M27" s="125">
        <v>6.9</v>
      </c>
    </row>
    <row r="28" spans="1:13" ht="16.5">
      <c r="A28" s="97" t="s">
        <v>285</v>
      </c>
      <c r="B28" s="1">
        <v>1372.3</v>
      </c>
      <c r="C28" s="1">
        <v>1385.4</v>
      </c>
      <c r="D28" s="1">
        <v>1378.7</v>
      </c>
      <c r="E28" s="1">
        <v>1370.3</v>
      </c>
      <c r="F28" s="103">
        <v>74.9</v>
      </c>
      <c r="G28" s="15">
        <v>74.6</v>
      </c>
      <c r="H28" s="15">
        <v>78.5</v>
      </c>
      <c r="I28" s="15">
        <v>84.4</v>
      </c>
      <c r="J28" s="124">
        <v>5.5</v>
      </c>
      <c r="K28" s="125">
        <v>5.4</v>
      </c>
      <c r="L28" s="125">
        <v>5.7</v>
      </c>
      <c r="M28" s="125">
        <v>6.2</v>
      </c>
    </row>
    <row r="29" spans="1:13" ht="16.5">
      <c r="A29" s="97" t="s">
        <v>286</v>
      </c>
      <c r="B29" s="1">
        <v>18319.6</v>
      </c>
      <c r="C29" s="1">
        <v>18581.8</v>
      </c>
      <c r="D29" s="1">
        <v>18583.5</v>
      </c>
      <c r="E29" s="1">
        <v>18648.5</v>
      </c>
      <c r="F29" s="103">
        <v>1079.4</v>
      </c>
      <c r="G29" s="15">
        <v>1530.3</v>
      </c>
      <c r="H29" s="15">
        <v>1566.5</v>
      </c>
      <c r="I29" s="15">
        <v>1731.8</v>
      </c>
      <c r="J29" s="124">
        <v>5.9</v>
      </c>
      <c r="K29" s="125">
        <v>8.2</v>
      </c>
      <c r="L29" s="125">
        <v>8.4</v>
      </c>
      <c r="M29" s="125">
        <v>9.3</v>
      </c>
    </row>
    <row r="30" spans="1:13" ht="16.5">
      <c r="A30" s="97" t="s">
        <v>287</v>
      </c>
      <c r="B30" s="1">
        <v>2738.7</v>
      </c>
      <c r="C30" s="1">
        <v>2753.3</v>
      </c>
      <c r="D30" s="1">
        <v>2748.4</v>
      </c>
      <c r="E30" s="1">
        <v>2750.1</v>
      </c>
      <c r="F30" s="103">
        <v>109</v>
      </c>
      <c r="G30" s="15">
        <v>155.9</v>
      </c>
      <c r="H30" s="15">
        <v>159.8</v>
      </c>
      <c r="I30" s="15">
        <v>167.6</v>
      </c>
      <c r="J30" s="124">
        <v>4</v>
      </c>
      <c r="K30" s="125">
        <v>5.7</v>
      </c>
      <c r="L30" s="125">
        <v>5.8</v>
      </c>
      <c r="M30" s="125">
        <v>6.1</v>
      </c>
    </row>
    <row r="31" spans="1:13" ht="16.5">
      <c r="A31" s="97" t="s">
        <v>288</v>
      </c>
      <c r="B31" s="1">
        <v>1882.2</v>
      </c>
      <c r="C31" s="1">
        <v>1910.7</v>
      </c>
      <c r="D31" s="1">
        <v>1903.5</v>
      </c>
      <c r="E31" s="1">
        <v>1894.7</v>
      </c>
      <c r="F31" s="103">
        <v>90.7</v>
      </c>
      <c r="G31" s="15">
        <v>125</v>
      </c>
      <c r="H31" s="15">
        <v>126.4</v>
      </c>
      <c r="I31" s="15">
        <v>134.2</v>
      </c>
      <c r="J31" s="124">
        <v>4.8</v>
      </c>
      <c r="K31" s="125">
        <v>6.5</v>
      </c>
      <c r="L31" s="125">
        <v>6.6</v>
      </c>
      <c r="M31" s="125">
        <v>7.1</v>
      </c>
    </row>
    <row r="32" spans="1:13" ht="16.5">
      <c r="A32" s="97" t="s">
        <v>289</v>
      </c>
      <c r="B32" s="1">
        <v>445.3</v>
      </c>
      <c r="C32" s="1">
        <v>447.7</v>
      </c>
      <c r="D32" s="1">
        <v>445.3</v>
      </c>
      <c r="E32" s="1">
        <v>445.3</v>
      </c>
      <c r="F32" s="103">
        <v>15.8</v>
      </c>
      <c r="G32" s="15">
        <v>23.9</v>
      </c>
      <c r="H32" s="15">
        <v>25.1</v>
      </c>
      <c r="I32" s="15">
        <v>27.7</v>
      </c>
      <c r="J32" s="124">
        <v>3.5</v>
      </c>
      <c r="K32" s="125">
        <v>5.3</v>
      </c>
      <c r="L32" s="125">
        <v>5.6</v>
      </c>
      <c r="M32" s="125">
        <v>6.2</v>
      </c>
    </row>
    <row r="33" spans="1:13" ht="16.5">
      <c r="A33" s="97" t="s">
        <v>290</v>
      </c>
      <c r="B33" s="1">
        <v>328.3</v>
      </c>
      <c r="C33" s="1">
        <v>329.6</v>
      </c>
      <c r="D33" s="1">
        <v>328.5</v>
      </c>
      <c r="E33" s="1">
        <v>329.3</v>
      </c>
      <c r="F33" s="103">
        <v>18.7</v>
      </c>
      <c r="G33" s="15">
        <v>24.2</v>
      </c>
      <c r="H33" s="15">
        <v>26.2</v>
      </c>
      <c r="I33" s="15">
        <v>29</v>
      </c>
      <c r="J33" s="124">
        <v>5.7</v>
      </c>
      <c r="K33" s="125">
        <v>7.3</v>
      </c>
      <c r="L33" s="125">
        <v>8</v>
      </c>
      <c r="M33" s="125">
        <v>8.8</v>
      </c>
    </row>
    <row r="34" spans="1:13" ht="16.5">
      <c r="A34" s="97" t="s">
        <v>291</v>
      </c>
      <c r="B34" s="1">
        <v>9240.7</v>
      </c>
      <c r="C34" s="1">
        <v>9365.6</v>
      </c>
      <c r="D34" s="1">
        <v>9318.2</v>
      </c>
      <c r="E34" s="1">
        <v>9313</v>
      </c>
      <c r="F34" s="103">
        <v>415.5</v>
      </c>
      <c r="G34" s="15">
        <v>658.7</v>
      </c>
      <c r="H34" s="15">
        <v>687.9</v>
      </c>
      <c r="I34" s="15">
        <v>751.8</v>
      </c>
      <c r="J34" s="124">
        <v>4.5</v>
      </c>
      <c r="K34" s="125">
        <v>7</v>
      </c>
      <c r="L34" s="125">
        <v>7.4</v>
      </c>
      <c r="M34" s="125">
        <v>8.1</v>
      </c>
    </row>
    <row r="35" spans="1:13" ht="16.5">
      <c r="A35" s="97" t="s">
        <v>292</v>
      </c>
      <c r="B35" s="1">
        <v>4855.9</v>
      </c>
      <c r="C35" s="1">
        <v>4894.4</v>
      </c>
      <c r="D35" s="1">
        <v>4886.7</v>
      </c>
      <c r="E35" s="1">
        <v>4878.4</v>
      </c>
      <c r="F35" s="103">
        <v>220.5</v>
      </c>
      <c r="G35" s="15">
        <v>338.6</v>
      </c>
      <c r="H35" s="15">
        <v>360.6</v>
      </c>
      <c r="I35" s="15">
        <v>393.2</v>
      </c>
      <c r="J35" s="124">
        <v>4.5</v>
      </c>
      <c r="K35" s="125">
        <v>6.9</v>
      </c>
      <c r="L35" s="125">
        <v>7.4</v>
      </c>
      <c r="M35" s="125">
        <v>8.1</v>
      </c>
    </row>
    <row r="36" spans="1:13" ht="16.5">
      <c r="A36" s="97" t="s">
        <v>293</v>
      </c>
      <c r="B36" s="1">
        <v>648.5</v>
      </c>
      <c r="C36" s="1">
        <v>665.3</v>
      </c>
      <c r="D36" s="1">
        <v>660.7</v>
      </c>
      <c r="E36" s="1">
        <v>661.7</v>
      </c>
      <c r="F36" s="103">
        <v>19.9</v>
      </c>
      <c r="G36" s="15">
        <v>30.4</v>
      </c>
      <c r="H36" s="15">
        <v>33</v>
      </c>
      <c r="I36" s="15">
        <v>36.4</v>
      </c>
      <c r="J36" s="124">
        <v>3.1</v>
      </c>
      <c r="K36" s="125">
        <v>4.6</v>
      </c>
      <c r="L36" s="125">
        <v>5</v>
      </c>
      <c r="M36" s="125">
        <v>5.5</v>
      </c>
    </row>
    <row r="37" spans="1:13" ht="16.5">
      <c r="A37" s="97" t="s">
        <v>294</v>
      </c>
      <c r="B37" s="1">
        <v>757</v>
      </c>
      <c r="C37" s="1">
        <v>759.6</v>
      </c>
      <c r="D37" s="1">
        <v>760.8</v>
      </c>
      <c r="E37" s="1">
        <v>759.7</v>
      </c>
      <c r="F37" s="103">
        <v>20.2</v>
      </c>
      <c r="G37" s="15">
        <v>40.2</v>
      </c>
      <c r="H37" s="15">
        <v>43.4</v>
      </c>
      <c r="I37" s="15">
        <v>49</v>
      </c>
      <c r="J37" s="124">
        <v>2.7</v>
      </c>
      <c r="K37" s="125">
        <v>5.3</v>
      </c>
      <c r="L37" s="125">
        <v>5.7</v>
      </c>
      <c r="M37" s="125">
        <v>6.4</v>
      </c>
    </row>
    <row r="38" spans="1:13" ht="16.5">
      <c r="A38" s="97" t="s">
        <v>295</v>
      </c>
      <c r="B38" s="1">
        <v>6742.5</v>
      </c>
      <c r="C38" s="1">
        <v>6642.4</v>
      </c>
      <c r="D38" s="1">
        <v>6645.1</v>
      </c>
      <c r="E38" s="1">
        <v>6640.4</v>
      </c>
      <c r="F38" s="103">
        <v>360.1</v>
      </c>
      <c r="G38" s="15">
        <v>481.9</v>
      </c>
      <c r="H38" s="15">
        <v>485.1</v>
      </c>
      <c r="I38" s="15">
        <v>505.3</v>
      </c>
      <c r="J38" s="124">
        <v>5.3</v>
      </c>
      <c r="K38" s="125">
        <v>7.3</v>
      </c>
      <c r="L38" s="125">
        <v>7.3</v>
      </c>
      <c r="M38" s="125">
        <v>7.6</v>
      </c>
    </row>
    <row r="39" spans="1:13" ht="16.5">
      <c r="A39" s="97" t="s">
        <v>296</v>
      </c>
      <c r="B39" s="1">
        <v>3207.6</v>
      </c>
      <c r="C39" s="1">
        <v>3246.5</v>
      </c>
      <c r="D39" s="1">
        <v>3238.4</v>
      </c>
      <c r="E39" s="1">
        <v>3230.8</v>
      </c>
      <c r="F39" s="103">
        <v>143.3</v>
      </c>
      <c r="G39" s="15">
        <v>207.8</v>
      </c>
      <c r="H39" s="15">
        <v>230.6</v>
      </c>
      <c r="I39" s="15">
        <v>266.5</v>
      </c>
      <c r="J39" s="124">
        <v>4.5</v>
      </c>
      <c r="K39" s="125">
        <v>6.4</v>
      </c>
      <c r="L39" s="125">
        <v>7.1</v>
      </c>
      <c r="M39" s="125">
        <v>8.2</v>
      </c>
    </row>
    <row r="40" spans="1:13" ht="16.5">
      <c r="A40" s="97" t="s">
        <v>297</v>
      </c>
      <c r="B40" s="1">
        <v>1666.7</v>
      </c>
      <c r="C40" s="1">
        <v>1682.6</v>
      </c>
      <c r="D40" s="1">
        <v>1679</v>
      </c>
      <c r="E40" s="1">
        <v>1671.9</v>
      </c>
      <c r="F40" s="103">
        <v>63.9</v>
      </c>
      <c r="G40" s="15">
        <v>73.9</v>
      </c>
      <c r="H40" s="15">
        <v>71.7</v>
      </c>
      <c r="I40" s="15">
        <v>77.1</v>
      </c>
      <c r="J40" s="124">
        <v>3.8</v>
      </c>
      <c r="K40" s="125">
        <v>4.4</v>
      </c>
      <c r="L40" s="125">
        <v>4.3</v>
      </c>
      <c r="M40" s="125">
        <v>4.6</v>
      </c>
    </row>
    <row r="41" spans="1:13" ht="16.5">
      <c r="A41" s="106" t="s">
        <v>298</v>
      </c>
      <c r="B41" s="107">
        <v>1484.2</v>
      </c>
      <c r="C41" s="107">
        <v>1501.7</v>
      </c>
      <c r="D41" s="107">
        <v>1503.8</v>
      </c>
      <c r="E41" s="107">
        <v>1506.6</v>
      </c>
      <c r="F41" s="108">
        <v>61.7</v>
      </c>
      <c r="G41" s="109">
        <v>73.4</v>
      </c>
      <c r="H41" s="109">
        <v>73.5</v>
      </c>
      <c r="I41" s="109">
        <v>78.6</v>
      </c>
      <c r="J41" s="126">
        <v>4.2</v>
      </c>
      <c r="K41" s="127">
        <v>4.9</v>
      </c>
      <c r="L41" s="127">
        <v>4.9</v>
      </c>
      <c r="M41" s="127">
        <v>5.2</v>
      </c>
    </row>
    <row r="42" spans="1:13" ht="16.5">
      <c r="A42" s="97" t="s">
        <v>299</v>
      </c>
      <c r="B42" s="1">
        <v>2043.7</v>
      </c>
      <c r="C42" s="1">
        <v>2045.1</v>
      </c>
      <c r="D42" s="1">
        <v>2038.3</v>
      </c>
      <c r="E42" s="1">
        <v>2049.4</v>
      </c>
      <c r="F42" s="103">
        <v>107.7</v>
      </c>
      <c r="G42" s="15">
        <v>138.9</v>
      </c>
      <c r="H42" s="15">
        <v>142.2</v>
      </c>
      <c r="I42" s="15">
        <v>159.8</v>
      </c>
      <c r="J42" s="124">
        <v>5.3</v>
      </c>
      <c r="K42" s="125">
        <v>6.8</v>
      </c>
      <c r="L42" s="125">
        <v>7</v>
      </c>
      <c r="M42" s="125">
        <v>7.8</v>
      </c>
    </row>
    <row r="43" spans="1:13" ht="16.5">
      <c r="A43" s="97" t="s">
        <v>300</v>
      </c>
      <c r="B43" s="1">
        <v>2017</v>
      </c>
      <c r="C43" s="1">
        <v>2062</v>
      </c>
      <c r="D43" s="1">
        <v>2050.1</v>
      </c>
      <c r="E43" s="1">
        <v>2061.1</v>
      </c>
      <c r="F43" s="103">
        <v>79.9</v>
      </c>
      <c r="G43" s="15">
        <v>114.5</v>
      </c>
      <c r="H43" s="15">
        <v>108.6</v>
      </c>
      <c r="I43" s="15">
        <v>121.9</v>
      </c>
      <c r="J43" s="124">
        <v>4</v>
      </c>
      <c r="K43" s="125">
        <v>5.6</v>
      </c>
      <c r="L43" s="125">
        <v>5.3</v>
      </c>
      <c r="M43" s="125">
        <v>5.9</v>
      </c>
    </row>
    <row r="44" spans="1:13" ht="16.5">
      <c r="A44" s="97" t="s">
        <v>301</v>
      </c>
      <c r="B44" s="1">
        <v>706.5</v>
      </c>
      <c r="C44" s="1">
        <v>710.9</v>
      </c>
      <c r="D44" s="1">
        <v>711.9</v>
      </c>
      <c r="E44" s="1">
        <v>710.7</v>
      </c>
      <c r="F44" s="103">
        <v>34.6</v>
      </c>
      <c r="G44" s="15">
        <v>40.3</v>
      </c>
      <c r="H44" s="15">
        <v>44.9</v>
      </c>
      <c r="I44" s="15">
        <v>50</v>
      </c>
      <c r="J44" s="124">
        <v>4.9</v>
      </c>
      <c r="K44" s="125">
        <v>5.7</v>
      </c>
      <c r="L44" s="125">
        <v>6.3</v>
      </c>
      <c r="M44" s="125">
        <v>7</v>
      </c>
    </row>
    <row r="45" spans="1:13" ht="16.5">
      <c r="A45" s="97" t="s">
        <v>302</v>
      </c>
      <c r="B45" s="1">
        <v>2991.5</v>
      </c>
      <c r="C45" s="1">
        <v>3000.8</v>
      </c>
      <c r="D45" s="1">
        <v>2994.4</v>
      </c>
      <c r="E45" s="1">
        <v>2995.6</v>
      </c>
      <c r="F45" s="103">
        <v>106.9</v>
      </c>
      <c r="G45" s="15">
        <v>148.4</v>
      </c>
      <c r="H45" s="15">
        <v>157.4</v>
      </c>
      <c r="I45" s="15">
        <v>174.7</v>
      </c>
      <c r="J45" s="124">
        <v>3.6</v>
      </c>
      <c r="K45" s="125">
        <v>4.9</v>
      </c>
      <c r="L45" s="125">
        <v>5.3</v>
      </c>
      <c r="M45" s="125">
        <v>5.8</v>
      </c>
    </row>
    <row r="46" spans="1:13" ht="16.5">
      <c r="A46" s="97" t="s">
        <v>303</v>
      </c>
      <c r="B46" s="1">
        <v>3402.8</v>
      </c>
      <c r="C46" s="1">
        <v>3423</v>
      </c>
      <c r="D46" s="1">
        <v>3421.2</v>
      </c>
      <c r="E46" s="1">
        <v>3418.1</v>
      </c>
      <c r="F46" s="103">
        <v>146.1</v>
      </c>
      <c r="G46" s="15">
        <v>186.9</v>
      </c>
      <c r="H46" s="15">
        <v>202.8</v>
      </c>
      <c r="I46" s="15">
        <v>235.4</v>
      </c>
      <c r="J46" s="124">
        <v>4.3</v>
      </c>
      <c r="K46" s="125">
        <v>5.5</v>
      </c>
      <c r="L46" s="125">
        <v>5.9</v>
      </c>
      <c r="M46" s="125">
        <v>6.9</v>
      </c>
    </row>
    <row r="47" spans="1:13" ht="16.5">
      <c r="A47" s="97" t="s">
        <v>304</v>
      </c>
      <c r="B47" s="1">
        <v>4988.8</v>
      </c>
      <c r="C47" s="1">
        <v>4930.3</v>
      </c>
      <c r="D47" s="1">
        <v>4915.3</v>
      </c>
      <c r="E47" s="1">
        <v>4894.3</v>
      </c>
      <c r="F47" s="103">
        <v>371.6</v>
      </c>
      <c r="G47" s="15">
        <v>456.8</v>
      </c>
      <c r="H47" s="15">
        <v>472.2</v>
      </c>
      <c r="I47" s="15">
        <v>519.3</v>
      </c>
      <c r="J47" s="124">
        <v>7.4</v>
      </c>
      <c r="K47" s="125">
        <v>9.3</v>
      </c>
      <c r="L47" s="125">
        <v>9.6</v>
      </c>
      <c r="M47" s="125">
        <v>10.6</v>
      </c>
    </row>
    <row r="48" spans="1:13" ht="16.5">
      <c r="A48" s="97" t="s">
        <v>305</v>
      </c>
      <c r="B48" s="1">
        <v>2933.8</v>
      </c>
      <c r="C48" s="1">
        <v>2942.1</v>
      </c>
      <c r="D48" s="1">
        <v>2945.4</v>
      </c>
      <c r="E48" s="1">
        <v>2951.8</v>
      </c>
      <c r="F48" s="103">
        <v>137.4</v>
      </c>
      <c r="G48" s="15">
        <v>174.5</v>
      </c>
      <c r="H48" s="15">
        <v>188.3</v>
      </c>
      <c r="I48" s="15">
        <v>202.8</v>
      </c>
      <c r="J48" s="124">
        <v>4.7</v>
      </c>
      <c r="K48" s="125">
        <v>5.9</v>
      </c>
      <c r="L48" s="125">
        <v>6.4</v>
      </c>
      <c r="M48" s="125">
        <v>6.9</v>
      </c>
    </row>
    <row r="49" spans="1:13" ht="16.5">
      <c r="A49" s="97" t="s">
        <v>306</v>
      </c>
      <c r="B49" s="1">
        <v>1325.6</v>
      </c>
      <c r="C49" s="1">
        <v>1316.8</v>
      </c>
      <c r="D49" s="1">
        <v>1311</v>
      </c>
      <c r="E49" s="1">
        <v>1310.9</v>
      </c>
      <c r="F49" s="103">
        <v>83.1</v>
      </c>
      <c r="G49" s="15">
        <v>94.5</v>
      </c>
      <c r="H49" s="15">
        <v>94.4</v>
      </c>
      <c r="I49" s="15">
        <v>104.4</v>
      </c>
      <c r="J49" s="124">
        <v>6.3</v>
      </c>
      <c r="K49" s="125">
        <v>7.2</v>
      </c>
      <c r="L49" s="125">
        <v>7.2</v>
      </c>
      <c r="M49" s="125">
        <v>8</v>
      </c>
    </row>
    <row r="50" spans="1:13" ht="16.5">
      <c r="A50" s="97" t="s">
        <v>307</v>
      </c>
      <c r="B50" s="1">
        <v>3036.9</v>
      </c>
      <c r="C50" s="1">
        <v>3028.2</v>
      </c>
      <c r="D50" s="1">
        <v>3018.6</v>
      </c>
      <c r="E50" s="1">
        <v>3012.3</v>
      </c>
      <c r="F50" s="103">
        <v>159.7</v>
      </c>
      <c r="G50" s="15">
        <v>196.7</v>
      </c>
      <c r="H50" s="15">
        <v>204.1</v>
      </c>
      <c r="I50" s="15">
        <v>219.7</v>
      </c>
      <c r="J50" s="124">
        <v>5.3</v>
      </c>
      <c r="K50" s="125">
        <v>6.5</v>
      </c>
      <c r="L50" s="125">
        <v>6.8</v>
      </c>
      <c r="M50" s="125">
        <v>7.3</v>
      </c>
    </row>
    <row r="51" spans="1:13" ht="16.5">
      <c r="A51" s="97" t="s">
        <v>308</v>
      </c>
      <c r="B51" s="1">
        <v>503</v>
      </c>
      <c r="C51" s="1">
        <v>507</v>
      </c>
      <c r="D51" s="1">
        <v>505.7</v>
      </c>
      <c r="E51" s="1">
        <v>505.7</v>
      </c>
      <c r="F51" s="103">
        <v>16.1</v>
      </c>
      <c r="G51" s="15">
        <v>24.4</v>
      </c>
      <c r="H51" s="15">
        <v>25</v>
      </c>
      <c r="I51" s="15">
        <v>27.2</v>
      </c>
      <c r="J51" s="124">
        <v>3.2</v>
      </c>
      <c r="K51" s="125">
        <v>4.8</v>
      </c>
      <c r="L51" s="125">
        <v>4.9</v>
      </c>
      <c r="M51" s="125">
        <v>5.4</v>
      </c>
    </row>
    <row r="52" spans="1:13" ht="16.5">
      <c r="A52" s="97" t="s">
        <v>309</v>
      </c>
      <c r="B52" s="1">
        <v>985.3</v>
      </c>
      <c r="C52" s="1">
        <v>999.2</v>
      </c>
      <c r="D52" s="1">
        <v>999.3</v>
      </c>
      <c r="E52" s="1">
        <v>997.6</v>
      </c>
      <c r="F52" s="103">
        <v>27.4</v>
      </c>
      <c r="G52" s="15">
        <v>36.5</v>
      </c>
      <c r="H52" s="15">
        <v>36.8</v>
      </c>
      <c r="I52" s="15">
        <v>40</v>
      </c>
      <c r="J52" s="124">
        <v>2.8</v>
      </c>
      <c r="K52" s="125">
        <v>3.7</v>
      </c>
      <c r="L52" s="125">
        <v>3.7</v>
      </c>
      <c r="M52" s="125">
        <v>4</v>
      </c>
    </row>
    <row r="53" spans="1:13" ht="16.5">
      <c r="A53" s="97" t="s">
        <v>310</v>
      </c>
      <c r="B53" s="1">
        <v>1359.7</v>
      </c>
      <c r="C53" s="1">
        <v>1416.9</v>
      </c>
      <c r="D53" s="1">
        <v>1417.9</v>
      </c>
      <c r="E53" s="1">
        <v>1426.8</v>
      </c>
      <c r="F53" s="103">
        <v>70.7</v>
      </c>
      <c r="G53" s="15">
        <v>108.6</v>
      </c>
      <c r="H53" s="15">
        <v>114.2</v>
      </c>
      <c r="I53" s="15">
        <v>130.5</v>
      </c>
      <c r="J53" s="124">
        <v>5.2</v>
      </c>
      <c r="K53" s="125">
        <v>7.7</v>
      </c>
      <c r="L53" s="125">
        <v>8.1</v>
      </c>
      <c r="M53" s="125">
        <v>9.1</v>
      </c>
    </row>
    <row r="54" spans="1:13" ht="16.5">
      <c r="A54" s="97" t="s">
        <v>311</v>
      </c>
      <c r="B54" s="1">
        <v>740.6</v>
      </c>
      <c r="C54" s="1">
        <v>744.4</v>
      </c>
      <c r="D54" s="1">
        <v>742.4</v>
      </c>
      <c r="E54" s="1">
        <v>739.5</v>
      </c>
      <c r="F54" s="103">
        <v>25.3</v>
      </c>
      <c r="G54" s="15">
        <v>30.5</v>
      </c>
      <c r="H54" s="15">
        <v>31.8</v>
      </c>
      <c r="I54" s="15">
        <v>33.8</v>
      </c>
      <c r="J54" s="124">
        <v>3.4</v>
      </c>
      <c r="K54" s="125">
        <v>4.1</v>
      </c>
      <c r="L54" s="125">
        <v>4.3</v>
      </c>
      <c r="M54" s="125">
        <v>4.6</v>
      </c>
    </row>
    <row r="55" spans="1:13" ht="16.5">
      <c r="A55" s="97" t="s">
        <v>312</v>
      </c>
      <c r="B55" s="1">
        <v>4463.8</v>
      </c>
      <c r="C55" s="1">
        <v>4552.7</v>
      </c>
      <c r="D55" s="1">
        <v>4519.6</v>
      </c>
      <c r="E55" s="1">
        <v>4550.6</v>
      </c>
      <c r="F55" s="103">
        <v>188</v>
      </c>
      <c r="G55" s="15">
        <v>273.9</v>
      </c>
      <c r="H55" s="15">
        <v>275.7</v>
      </c>
      <c r="I55" s="15">
        <v>324.9</v>
      </c>
      <c r="J55" s="124">
        <v>4.2</v>
      </c>
      <c r="K55" s="125">
        <v>6</v>
      </c>
      <c r="L55" s="125">
        <v>6.1</v>
      </c>
      <c r="M55" s="125">
        <v>7.1</v>
      </c>
    </row>
    <row r="56" spans="1:13" ht="16.5">
      <c r="A56" s="97" t="s">
        <v>313</v>
      </c>
      <c r="B56" s="1">
        <v>945.2</v>
      </c>
      <c r="C56" s="1">
        <v>961.6</v>
      </c>
      <c r="D56" s="1">
        <v>960.9</v>
      </c>
      <c r="E56" s="1">
        <v>966.1</v>
      </c>
      <c r="F56" s="103">
        <v>30.6</v>
      </c>
      <c r="G56" s="15">
        <v>41.7</v>
      </c>
      <c r="H56" s="15">
        <v>41.7</v>
      </c>
      <c r="I56" s="15">
        <v>47.8</v>
      </c>
      <c r="J56" s="124">
        <v>3.2</v>
      </c>
      <c r="K56" s="125">
        <v>4.3</v>
      </c>
      <c r="L56" s="125">
        <v>4.3</v>
      </c>
      <c r="M56" s="125">
        <v>4.9</v>
      </c>
    </row>
    <row r="57" spans="1:13" ht="16.5">
      <c r="A57" s="97" t="s">
        <v>314</v>
      </c>
      <c r="B57" s="1">
        <v>9542.2</v>
      </c>
      <c r="C57" s="1">
        <v>9660.2</v>
      </c>
      <c r="D57" s="1">
        <v>9619.1</v>
      </c>
      <c r="E57" s="1">
        <v>9635.3</v>
      </c>
      <c r="F57" s="103">
        <v>442.2</v>
      </c>
      <c r="G57" s="15">
        <v>548.3</v>
      </c>
      <c r="H57" s="15">
        <v>581.8</v>
      </c>
      <c r="I57" s="15">
        <v>671.5</v>
      </c>
      <c r="J57" s="124">
        <v>4.6</v>
      </c>
      <c r="K57" s="125">
        <v>5.7</v>
      </c>
      <c r="L57" s="125">
        <v>6</v>
      </c>
      <c r="M57" s="125">
        <v>7</v>
      </c>
    </row>
    <row r="58" spans="1:13" ht="16.5">
      <c r="A58" s="97" t="s">
        <v>315</v>
      </c>
      <c r="B58" s="1">
        <v>3868.5</v>
      </c>
      <c r="C58" s="1">
        <v>3918.5</v>
      </c>
      <c r="D58" s="1">
        <v>3911.1</v>
      </c>
      <c r="E58" s="1">
        <v>3923.1</v>
      </c>
      <c r="F58" s="103">
        <v>198.2</v>
      </c>
      <c r="G58" s="15">
        <v>222</v>
      </c>
      <c r="H58" s="15">
        <v>245.9</v>
      </c>
      <c r="I58" s="15">
        <v>291.8</v>
      </c>
      <c r="J58" s="124">
        <v>5.1</v>
      </c>
      <c r="K58" s="125">
        <v>5.7</v>
      </c>
      <c r="L58" s="125">
        <v>6.3</v>
      </c>
      <c r="M58" s="125">
        <v>7.4</v>
      </c>
    </row>
    <row r="59" spans="1:13" ht="16.5">
      <c r="A59" s="97" t="s">
        <v>316</v>
      </c>
      <c r="B59" s="1">
        <v>4531.9</v>
      </c>
      <c r="C59" s="1">
        <v>4588.5</v>
      </c>
      <c r="D59" s="1">
        <v>4564.8</v>
      </c>
      <c r="E59" s="1">
        <v>4563.1</v>
      </c>
      <c r="F59" s="103">
        <v>211.7</v>
      </c>
      <c r="G59" s="15">
        <v>323.5</v>
      </c>
      <c r="H59" s="15">
        <v>358.3</v>
      </c>
      <c r="I59" s="15">
        <v>396.8</v>
      </c>
      <c r="J59" s="124">
        <v>4.7</v>
      </c>
      <c r="K59" s="125">
        <v>7.1</v>
      </c>
      <c r="L59" s="125">
        <v>7.8</v>
      </c>
      <c r="M59" s="125">
        <v>8.7</v>
      </c>
    </row>
    <row r="60" spans="1:13" ht="16.5">
      <c r="A60" s="97" t="s">
        <v>317</v>
      </c>
      <c r="B60" s="1">
        <v>367.8</v>
      </c>
      <c r="C60" s="1">
        <v>372.1</v>
      </c>
      <c r="D60" s="1">
        <v>371.5</v>
      </c>
      <c r="E60" s="1">
        <v>371.5</v>
      </c>
      <c r="F60" s="103">
        <v>11.8</v>
      </c>
      <c r="G60" s="15">
        <v>12.7</v>
      </c>
      <c r="H60" s="15">
        <v>12.2</v>
      </c>
      <c r="I60" s="15">
        <v>12.8</v>
      </c>
      <c r="J60" s="124">
        <v>3.2</v>
      </c>
      <c r="K60" s="125">
        <v>3.4</v>
      </c>
      <c r="L60" s="125">
        <v>3.3</v>
      </c>
      <c r="M60" s="125">
        <v>3.5</v>
      </c>
    </row>
    <row r="61" spans="1:13" ht="16.5">
      <c r="A61" s="97" t="s">
        <v>318</v>
      </c>
      <c r="B61" s="1">
        <v>5988.4</v>
      </c>
      <c r="C61" s="1">
        <v>5989.2</v>
      </c>
      <c r="D61" s="1">
        <v>5969.5</v>
      </c>
      <c r="E61" s="1">
        <v>5971.6</v>
      </c>
      <c r="F61" s="103">
        <v>347.3</v>
      </c>
      <c r="G61" s="15">
        <v>435</v>
      </c>
      <c r="H61" s="15">
        <v>435.2</v>
      </c>
      <c r="I61" s="15">
        <v>464.8</v>
      </c>
      <c r="J61" s="124">
        <v>5.8</v>
      </c>
      <c r="K61" s="125">
        <v>7.3</v>
      </c>
      <c r="L61" s="125">
        <v>7.3</v>
      </c>
      <c r="M61" s="125">
        <v>7.8</v>
      </c>
    </row>
    <row r="62" spans="1:13" ht="16.5">
      <c r="A62" s="97" t="s">
        <v>319</v>
      </c>
      <c r="B62" s="1">
        <v>1732.4</v>
      </c>
      <c r="C62" s="1">
        <v>1769.8</v>
      </c>
      <c r="D62" s="1">
        <v>1771</v>
      </c>
      <c r="E62" s="1">
        <v>1768.9</v>
      </c>
      <c r="F62" s="103">
        <v>71.5</v>
      </c>
      <c r="G62" s="15">
        <v>76.8</v>
      </c>
      <c r="H62" s="15">
        <v>82.9</v>
      </c>
      <c r="I62" s="15">
        <v>87</v>
      </c>
      <c r="J62" s="124">
        <v>4.1</v>
      </c>
      <c r="K62" s="125">
        <v>4.3</v>
      </c>
      <c r="L62" s="125">
        <v>4.7</v>
      </c>
      <c r="M62" s="125">
        <v>4.9</v>
      </c>
    </row>
    <row r="63" spans="1:13" ht="16.5">
      <c r="A63" s="97" t="s">
        <v>320</v>
      </c>
      <c r="B63" s="1">
        <v>1937.5</v>
      </c>
      <c r="C63" s="1">
        <v>1970.9</v>
      </c>
      <c r="D63" s="1">
        <v>1976.1</v>
      </c>
      <c r="E63" s="1">
        <v>1990.9</v>
      </c>
      <c r="F63" s="103">
        <v>105</v>
      </c>
      <c r="G63" s="15">
        <v>142.6</v>
      </c>
      <c r="H63" s="15">
        <v>158.4</v>
      </c>
      <c r="I63" s="15">
        <v>178.9</v>
      </c>
      <c r="J63" s="124">
        <v>5.4</v>
      </c>
      <c r="K63" s="125">
        <v>7.2</v>
      </c>
      <c r="L63" s="125">
        <v>8</v>
      </c>
      <c r="M63" s="125">
        <v>9</v>
      </c>
    </row>
    <row r="64" spans="1:13" ht="16.5">
      <c r="A64" s="97" t="s">
        <v>321</v>
      </c>
      <c r="B64" s="1">
        <v>6290.1</v>
      </c>
      <c r="C64" s="1">
        <v>6447</v>
      </c>
      <c r="D64" s="1">
        <v>6419.4</v>
      </c>
      <c r="E64" s="1">
        <v>6442.2</v>
      </c>
      <c r="F64" s="103">
        <v>278.6</v>
      </c>
      <c r="G64" s="15">
        <v>372.3</v>
      </c>
      <c r="H64" s="15">
        <v>395.4</v>
      </c>
      <c r="I64" s="15">
        <v>433.7</v>
      </c>
      <c r="J64" s="124">
        <v>4.4</v>
      </c>
      <c r="K64" s="125">
        <v>5.8</v>
      </c>
      <c r="L64" s="125">
        <v>6.2</v>
      </c>
      <c r="M64" s="125">
        <v>6.7</v>
      </c>
    </row>
    <row r="65" spans="1:13" ht="16.5">
      <c r="A65" s="97" t="s">
        <v>322</v>
      </c>
      <c r="B65" s="1">
        <v>576.7</v>
      </c>
      <c r="C65" s="1">
        <v>570.5</v>
      </c>
      <c r="D65" s="1">
        <v>570.6</v>
      </c>
      <c r="E65" s="1">
        <v>566.2</v>
      </c>
      <c r="F65" s="103">
        <v>30.2</v>
      </c>
      <c r="G65" s="15">
        <v>52.9</v>
      </c>
      <c r="H65" s="15">
        <v>53.1</v>
      </c>
      <c r="I65" s="15">
        <v>56.8</v>
      </c>
      <c r="J65" s="124">
        <v>5.2</v>
      </c>
      <c r="K65" s="125">
        <v>9.3</v>
      </c>
      <c r="L65" s="125">
        <v>9.3</v>
      </c>
      <c r="M65" s="125">
        <v>10</v>
      </c>
    </row>
    <row r="66" spans="1:13" ht="16.5">
      <c r="A66" s="97" t="s">
        <v>323</v>
      </c>
      <c r="B66" s="1">
        <v>2150.2</v>
      </c>
      <c r="C66" s="1">
        <v>2169.8</v>
      </c>
      <c r="D66" s="1">
        <v>2170.3</v>
      </c>
      <c r="E66" s="1">
        <v>2184.6</v>
      </c>
      <c r="F66" s="103">
        <v>133.4</v>
      </c>
      <c r="G66" s="15">
        <v>171.4</v>
      </c>
      <c r="H66" s="15">
        <v>181.6</v>
      </c>
      <c r="I66" s="15">
        <v>207.2</v>
      </c>
      <c r="J66" s="124">
        <v>6.2</v>
      </c>
      <c r="K66" s="125">
        <v>7.9</v>
      </c>
      <c r="L66" s="125">
        <v>8.4</v>
      </c>
      <c r="M66" s="125">
        <v>9.5</v>
      </c>
    </row>
    <row r="67" spans="1:13" ht="16.5">
      <c r="A67" s="97" t="s">
        <v>324</v>
      </c>
      <c r="B67" s="1">
        <v>443.1</v>
      </c>
      <c r="C67" s="1">
        <v>447</v>
      </c>
      <c r="D67" s="1">
        <v>446.1</v>
      </c>
      <c r="E67" s="1">
        <v>445.9</v>
      </c>
      <c r="F67" s="103">
        <v>12.7</v>
      </c>
      <c r="G67" s="15">
        <v>14.5</v>
      </c>
      <c r="H67" s="15">
        <v>15.1</v>
      </c>
      <c r="I67" s="15">
        <v>17.2</v>
      </c>
      <c r="J67" s="124">
        <v>2.9</v>
      </c>
      <c r="K67" s="125">
        <v>3.2</v>
      </c>
      <c r="L67" s="125">
        <v>3.4</v>
      </c>
      <c r="M67" s="125">
        <v>3.9</v>
      </c>
    </row>
    <row r="68" spans="1:13" ht="16.5">
      <c r="A68" s="97" t="s">
        <v>325</v>
      </c>
      <c r="B68" s="1">
        <v>3055</v>
      </c>
      <c r="C68" s="1">
        <v>3045.9</v>
      </c>
      <c r="D68" s="1">
        <v>3028.4</v>
      </c>
      <c r="E68" s="1">
        <v>3042.3</v>
      </c>
      <c r="F68" s="103">
        <v>151.3</v>
      </c>
      <c r="G68" s="15">
        <v>211.8</v>
      </c>
      <c r="H68" s="15">
        <v>211.4</v>
      </c>
      <c r="I68" s="15">
        <v>241.2</v>
      </c>
      <c r="J68" s="124">
        <v>5</v>
      </c>
      <c r="K68" s="125">
        <v>7</v>
      </c>
      <c r="L68" s="125">
        <v>7</v>
      </c>
      <c r="M68" s="125">
        <v>7.9</v>
      </c>
    </row>
    <row r="69" spans="1:13" ht="16.5">
      <c r="A69" s="97" t="s">
        <v>326</v>
      </c>
      <c r="B69" s="1">
        <v>11557.6</v>
      </c>
      <c r="C69" s="1">
        <v>11815.2</v>
      </c>
      <c r="D69" s="1">
        <v>11851</v>
      </c>
      <c r="E69" s="1">
        <v>11853.8</v>
      </c>
      <c r="F69" s="103">
        <v>488</v>
      </c>
      <c r="G69" s="15">
        <v>656.7</v>
      </c>
      <c r="H69" s="15">
        <v>676</v>
      </c>
      <c r="I69" s="15">
        <v>711.8</v>
      </c>
      <c r="J69" s="124">
        <v>4.2</v>
      </c>
      <c r="K69" s="125">
        <v>5.6</v>
      </c>
      <c r="L69" s="125">
        <v>5.7</v>
      </c>
      <c r="M69" s="125">
        <v>6</v>
      </c>
    </row>
    <row r="70" spans="1:13" ht="16.5">
      <c r="A70" s="97" t="s">
        <v>327</v>
      </c>
      <c r="B70" s="1">
        <v>1384.2</v>
      </c>
      <c r="C70" s="1">
        <v>1384</v>
      </c>
      <c r="D70" s="1">
        <v>1383.3</v>
      </c>
      <c r="E70" s="1">
        <v>1383</v>
      </c>
      <c r="F70" s="103">
        <v>39.6</v>
      </c>
      <c r="G70" s="15">
        <v>48.6</v>
      </c>
      <c r="H70" s="15">
        <v>51.4</v>
      </c>
      <c r="I70" s="15">
        <v>60.1</v>
      </c>
      <c r="J70" s="124">
        <v>2.9</v>
      </c>
      <c r="K70" s="125">
        <v>3.5</v>
      </c>
      <c r="L70" s="125">
        <v>3.7</v>
      </c>
      <c r="M70" s="125">
        <v>4.3</v>
      </c>
    </row>
    <row r="71" spans="1:13" ht="16.5">
      <c r="A71" s="97" t="s">
        <v>328</v>
      </c>
      <c r="B71" s="1">
        <v>352.9</v>
      </c>
      <c r="C71" s="1">
        <v>356.3</v>
      </c>
      <c r="D71" s="1">
        <v>356.9</v>
      </c>
      <c r="E71" s="1">
        <v>356.9</v>
      </c>
      <c r="F71" s="103">
        <v>13.6</v>
      </c>
      <c r="G71" s="15">
        <v>18.6</v>
      </c>
      <c r="H71" s="15">
        <v>20.2</v>
      </c>
      <c r="I71" s="15">
        <v>22.7</v>
      </c>
      <c r="J71" s="124">
        <v>3.9</v>
      </c>
      <c r="K71" s="125">
        <v>5.2</v>
      </c>
      <c r="L71" s="125">
        <v>5.7</v>
      </c>
      <c r="M71" s="125">
        <v>6.4</v>
      </c>
    </row>
    <row r="72" spans="1:13" ht="16.5">
      <c r="A72" s="97" t="s">
        <v>329</v>
      </c>
      <c r="B72" s="1">
        <v>4087.6</v>
      </c>
      <c r="C72" s="1">
        <v>4150.7</v>
      </c>
      <c r="D72" s="1">
        <v>4152.2</v>
      </c>
      <c r="E72" s="1">
        <v>4159.5</v>
      </c>
      <c r="F72" s="103">
        <v>131.6</v>
      </c>
      <c r="G72" s="15">
        <v>183.4</v>
      </c>
      <c r="H72" s="15">
        <v>198.2</v>
      </c>
      <c r="I72" s="15">
        <v>222.7</v>
      </c>
      <c r="J72" s="124">
        <v>3.2</v>
      </c>
      <c r="K72" s="125">
        <v>4.4</v>
      </c>
      <c r="L72" s="125">
        <v>4.8</v>
      </c>
      <c r="M72" s="125">
        <v>5.4</v>
      </c>
    </row>
    <row r="73" spans="1:13" ht="16.5">
      <c r="A73" s="97" t="s">
        <v>330</v>
      </c>
      <c r="B73" s="1">
        <v>3443.6</v>
      </c>
      <c r="C73" s="1">
        <v>3515.6</v>
      </c>
      <c r="D73" s="1">
        <v>3517.3</v>
      </c>
      <c r="E73" s="1">
        <v>3534.2</v>
      </c>
      <c r="F73" s="103">
        <v>157.3</v>
      </c>
      <c r="G73" s="15">
        <v>221</v>
      </c>
      <c r="H73" s="15">
        <v>222.5</v>
      </c>
      <c r="I73" s="15">
        <v>251.7</v>
      </c>
      <c r="J73" s="124">
        <v>4.6</v>
      </c>
      <c r="K73" s="125">
        <v>6.3</v>
      </c>
      <c r="L73" s="125">
        <v>6.3</v>
      </c>
      <c r="M73" s="125">
        <v>7.1</v>
      </c>
    </row>
    <row r="74" spans="1:13" ht="16.5">
      <c r="A74" s="97" t="s">
        <v>331</v>
      </c>
      <c r="B74" s="1">
        <v>810.3</v>
      </c>
      <c r="C74" s="1">
        <v>810.1</v>
      </c>
      <c r="D74" s="1">
        <v>805.2</v>
      </c>
      <c r="E74" s="1">
        <v>800</v>
      </c>
      <c r="F74" s="103">
        <v>37.3</v>
      </c>
      <c r="G74" s="15">
        <v>37.4</v>
      </c>
      <c r="H74" s="15">
        <v>36.7</v>
      </c>
      <c r="I74" s="15">
        <v>39</v>
      </c>
      <c r="J74" s="124">
        <v>4.6</v>
      </c>
      <c r="K74" s="125">
        <v>4.6</v>
      </c>
      <c r="L74" s="125">
        <v>4.6</v>
      </c>
      <c r="M74" s="125">
        <v>4.9</v>
      </c>
    </row>
    <row r="75" spans="1:13" ht="16.5">
      <c r="A75" s="97" t="s">
        <v>332</v>
      </c>
      <c r="B75" s="1">
        <v>3090.5</v>
      </c>
      <c r="C75" s="1">
        <v>3089</v>
      </c>
      <c r="D75" s="1">
        <v>3093.9</v>
      </c>
      <c r="E75" s="1">
        <v>3094.3</v>
      </c>
      <c r="F75" s="103">
        <v>149.8</v>
      </c>
      <c r="G75" s="15">
        <v>159</v>
      </c>
      <c r="H75" s="15">
        <v>174.4</v>
      </c>
      <c r="I75" s="15">
        <v>191.4</v>
      </c>
      <c r="J75" s="124">
        <v>4.8</v>
      </c>
      <c r="K75" s="125">
        <v>5.1</v>
      </c>
      <c r="L75" s="125">
        <v>5.6</v>
      </c>
      <c r="M75" s="125">
        <v>6.2</v>
      </c>
    </row>
    <row r="76" spans="1:13" ht="16.5">
      <c r="A76" s="97" t="s">
        <v>333</v>
      </c>
      <c r="B76" s="1">
        <v>290.1</v>
      </c>
      <c r="C76" s="1">
        <v>293.8</v>
      </c>
      <c r="D76" s="1">
        <v>293.5</v>
      </c>
      <c r="E76" s="1">
        <v>293.9</v>
      </c>
      <c r="F76" s="103">
        <v>8.9</v>
      </c>
      <c r="G76" s="15">
        <v>9.7</v>
      </c>
      <c r="H76" s="15">
        <v>9.3</v>
      </c>
      <c r="I76" s="15">
        <v>10</v>
      </c>
      <c r="J76" s="124">
        <v>3.1</v>
      </c>
      <c r="K76" s="125">
        <v>3.3</v>
      </c>
      <c r="L76" s="125">
        <v>3.2</v>
      </c>
      <c r="M76" s="125">
        <v>3.4</v>
      </c>
    </row>
    <row r="77" spans="1:13" ht="16.5">
      <c r="A77" s="97" t="s">
        <v>334</v>
      </c>
      <c r="B77" s="1">
        <v>1364.9</v>
      </c>
      <c r="C77" s="1">
        <v>1364</v>
      </c>
      <c r="D77" s="1">
        <v>1374.2</v>
      </c>
      <c r="E77" s="1">
        <v>1377.1</v>
      </c>
      <c r="F77" s="103">
        <v>153.3</v>
      </c>
      <c r="G77" s="15">
        <v>164.1</v>
      </c>
      <c r="H77" s="15">
        <v>171.4</v>
      </c>
      <c r="I77" s="15">
        <v>185.9</v>
      </c>
      <c r="J77" s="124">
        <v>11.2</v>
      </c>
      <c r="K77" s="125">
        <v>12</v>
      </c>
      <c r="L77" s="125">
        <v>12.5</v>
      </c>
      <c r="M77" s="125">
        <v>13.5</v>
      </c>
    </row>
    <row r="78" spans="1:13" ht="15.75" thickBot="1">
      <c r="A78" s="110" t="s">
        <v>11</v>
      </c>
      <c r="B78" s="17">
        <f>SUM(B25:B77)</f>
        <v>158607</v>
      </c>
      <c r="C78" s="17">
        <f>SUM(C25:C77)</f>
        <v>160217.90000000002</v>
      </c>
      <c r="D78" s="17">
        <f>SUM(D25:D77)</f>
        <v>159945.6</v>
      </c>
      <c r="E78" s="17">
        <f>SUM(E25:E77)</f>
        <v>160130.9</v>
      </c>
      <c r="F78" s="17">
        <f>SUM(F25:F77)</f>
        <v>7684.300000000001</v>
      </c>
      <c r="G78" s="17">
        <f>SUM(G25:G77)</f>
        <v>10326.4</v>
      </c>
      <c r="H78" s="17">
        <f>SUM(H25:H77)</f>
        <v>10755.3</v>
      </c>
      <c r="I78" s="17">
        <f>SUM(I25:I77)</f>
        <v>11871</v>
      </c>
      <c r="J78" s="128">
        <f>+F78/B78*100</f>
        <v>4.844868133184539</v>
      </c>
      <c r="K78" s="128">
        <f>+G78/C78*100</f>
        <v>6.445222412726667</v>
      </c>
      <c r="L78" s="128">
        <f>+H78/D78*100</f>
        <v>6.7243487785847185</v>
      </c>
      <c r="M78" s="128">
        <f>+I78/E78*100</f>
        <v>7.413309985767894</v>
      </c>
    </row>
    <row r="79" ht="15">
      <c r="A79" s="96"/>
    </row>
    <row r="83" ht="15.75">
      <c r="A83" s="4" t="s">
        <v>341</v>
      </c>
    </row>
    <row r="84" spans="1:12" ht="16.5">
      <c r="A84" s="97" t="s">
        <v>344</v>
      </c>
      <c r="B84"/>
      <c r="C84"/>
      <c r="D84"/>
      <c r="E84"/>
      <c r="F84"/>
      <c r="G84"/>
      <c r="H84"/>
      <c r="I84"/>
      <c r="J84"/>
      <c r="K84"/>
      <c r="L84"/>
    </row>
    <row r="85" spans="1:12" ht="16.5">
      <c r="A85" s="111" t="s">
        <v>345</v>
      </c>
      <c r="B85"/>
      <c r="C85"/>
      <c r="D85"/>
      <c r="E85"/>
      <c r="F85"/>
      <c r="G85"/>
      <c r="H85"/>
      <c r="I85"/>
      <c r="J85"/>
      <c r="K85"/>
      <c r="L85"/>
    </row>
    <row r="86" spans="1:12" ht="15">
      <c r="A86" s="44"/>
      <c r="B86" s="44"/>
      <c r="C86" s="185" t="s">
        <v>346</v>
      </c>
      <c r="D86" s="185"/>
      <c r="E86" s="186" t="s">
        <v>337</v>
      </c>
      <c r="F86" s="185"/>
      <c r="G86" s="186" t="s">
        <v>347</v>
      </c>
      <c r="H86" s="185"/>
      <c r="I86" s="186" t="s">
        <v>348</v>
      </c>
      <c r="J86" s="185"/>
      <c r="K86" s="186" t="s">
        <v>349</v>
      </c>
      <c r="L86" s="185"/>
    </row>
    <row r="87" spans="1:12" ht="15.75" thickBot="1">
      <c r="A87" s="114"/>
      <c r="B87" s="114"/>
      <c r="C87" s="118" t="s">
        <v>350</v>
      </c>
      <c r="D87" s="118" t="s">
        <v>335</v>
      </c>
      <c r="E87" s="119" t="s">
        <v>350</v>
      </c>
      <c r="F87" s="118" t="s">
        <v>335</v>
      </c>
      <c r="G87" s="119" t="s">
        <v>350</v>
      </c>
      <c r="H87" s="118" t="s">
        <v>335</v>
      </c>
      <c r="I87" s="119" t="s">
        <v>350</v>
      </c>
      <c r="J87" s="118" t="s">
        <v>335</v>
      </c>
      <c r="K87" s="119" t="s">
        <v>350</v>
      </c>
      <c r="L87" s="118" t="s">
        <v>335</v>
      </c>
    </row>
    <row r="88" spans="1:12" ht="15">
      <c r="A88" s="120" t="s">
        <v>172</v>
      </c>
      <c r="B88" s="120"/>
      <c r="C88" s="121">
        <v>228815</v>
      </c>
      <c r="D88" s="121">
        <v>231867</v>
      </c>
      <c r="E88" s="122">
        <v>151428</v>
      </c>
      <c r="F88" s="121">
        <v>153124</v>
      </c>
      <c r="G88" s="122">
        <v>144427</v>
      </c>
      <c r="H88" s="121">
        <v>146047</v>
      </c>
      <c r="I88" s="122">
        <v>7001</v>
      </c>
      <c r="J88" s="121">
        <v>7078</v>
      </c>
      <c r="K88" s="123">
        <v>4.6</v>
      </c>
      <c r="L88" s="120">
        <v>4.6</v>
      </c>
    </row>
    <row r="89" spans="1:12" ht="15">
      <c r="A89"/>
      <c r="B89"/>
      <c r="C89"/>
      <c r="D89"/>
      <c r="E89" s="115"/>
      <c r="F89" s="113"/>
      <c r="G89" s="115"/>
      <c r="H89" s="113"/>
      <c r="I89" s="115"/>
      <c r="J89" s="113"/>
      <c r="K89" s="115"/>
      <c r="L89" s="113"/>
    </row>
    <row r="90" spans="1:12" ht="15">
      <c r="A90" t="s">
        <v>351</v>
      </c>
      <c r="B90"/>
      <c r="C90" s="112">
        <v>2707</v>
      </c>
      <c r="D90" s="112">
        <v>2723</v>
      </c>
      <c r="E90" s="116">
        <v>1836</v>
      </c>
      <c r="F90" s="117">
        <v>1865</v>
      </c>
      <c r="G90" s="116">
        <v>1756</v>
      </c>
      <c r="H90" s="117">
        <v>1780</v>
      </c>
      <c r="I90" s="115">
        <v>80</v>
      </c>
      <c r="J90" s="113">
        <v>85</v>
      </c>
      <c r="K90" s="115">
        <v>4.4</v>
      </c>
      <c r="L90" s="113">
        <v>4.6</v>
      </c>
    </row>
    <row r="91" spans="1:12" ht="15">
      <c r="A91" t="s">
        <v>352</v>
      </c>
      <c r="B91"/>
      <c r="C91" s="112">
        <v>1052</v>
      </c>
      <c r="D91" s="112">
        <v>1058</v>
      </c>
      <c r="E91" s="115">
        <v>703</v>
      </c>
      <c r="F91" s="113">
        <v>705</v>
      </c>
      <c r="G91" s="115">
        <v>671</v>
      </c>
      <c r="H91" s="113">
        <v>671</v>
      </c>
      <c r="I91" s="115">
        <v>32</v>
      </c>
      <c r="J91" s="113">
        <v>33</v>
      </c>
      <c r="K91" s="115">
        <v>4.6</v>
      </c>
      <c r="L91" s="113">
        <v>4.7</v>
      </c>
    </row>
    <row r="92" spans="1:12" ht="15">
      <c r="A92" t="s">
        <v>353</v>
      </c>
      <c r="B92"/>
      <c r="C92" s="112">
        <v>5078</v>
      </c>
      <c r="D92" s="112">
        <v>5107</v>
      </c>
      <c r="E92" s="116">
        <v>3405</v>
      </c>
      <c r="F92" s="117">
        <v>3408</v>
      </c>
      <c r="G92" s="116">
        <v>3241</v>
      </c>
      <c r="H92" s="117">
        <v>3256</v>
      </c>
      <c r="I92" s="115">
        <v>164</v>
      </c>
      <c r="J92" s="113">
        <v>153</v>
      </c>
      <c r="K92" s="115">
        <v>4.8</v>
      </c>
      <c r="L92" s="113">
        <v>4.5</v>
      </c>
    </row>
    <row r="93" spans="1:12" ht="15">
      <c r="A93" t="s">
        <v>354</v>
      </c>
      <c r="B93" t="s">
        <v>355</v>
      </c>
      <c r="C93" s="112">
        <v>1031</v>
      </c>
      <c r="D93" s="112">
        <v>1040</v>
      </c>
      <c r="E93" s="115">
        <v>732</v>
      </c>
      <c r="F93" s="113">
        <v>738</v>
      </c>
      <c r="G93" s="115">
        <v>706</v>
      </c>
      <c r="H93" s="113">
        <v>712</v>
      </c>
      <c r="I93" s="115">
        <v>26</v>
      </c>
      <c r="J93" s="113">
        <v>26</v>
      </c>
      <c r="K93" s="115">
        <v>3.5</v>
      </c>
      <c r="L93" s="113">
        <v>3.6</v>
      </c>
    </row>
    <row r="94" spans="1:12" ht="15">
      <c r="A94" t="s">
        <v>356</v>
      </c>
      <c r="B94" t="s">
        <v>357</v>
      </c>
      <c r="C94">
        <v>838</v>
      </c>
      <c r="D94">
        <v>837</v>
      </c>
      <c r="E94" s="115">
        <v>575</v>
      </c>
      <c r="F94" s="113">
        <v>577</v>
      </c>
      <c r="G94" s="115">
        <v>546</v>
      </c>
      <c r="H94" s="113">
        <v>548</v>
      </c>
      <c r="I94" s="115">
        <v>29</v>
      </c>
      <c r="J94" s="113">
        <v>29</v>
      </c>
      <c r="K94" s="115">
        <v>5.1</v>
      </c>
      <c r="L94" s="113">
        <v>5</v>
      </c>
    </row>
    <row r="95" spans="1:12" ht="15">
      <c r="A95" t="s">
        <v>358</v>
      </c>
      <c r="B95"/>
      <c r="C95">
        <v>499</v>
      </c>
      <c r="D95">
        <v>502</v>
      </c>
      <c r="E95" s="115">
        <v>356</v>
      </c>
      <c r="F95" s="113">
        <v>354</v>
      </c>
      <c r="G95" s="115">
        <v>343</v>
      </c>
      <c r="H95" s="113">
        <v>340</v>
      </c>
      <c r="I95" s="115">
        <v>13</v>
      </c>
      <c r="J95" s="113">
        <v>14</v>
      </c>
      <c r="K95" s="115">
        <v>3.7</v>
      </c>
      <c r="L95" s="113">
        <v>3.9</v>
      </c>
    </row>
    <row r="96" spans="1:12" ht="15">
      <c r="A96" t="s">
        <v>354</v>
      </c>
      <c r="B96" t="s">
        <v>359</v>
      </c>
      <c r="C96" s="112">
        <v>6714</v>
      </c>
      <c r="D96" s="112">
        <v>6751</v>
      </c>
      <c r="E96" s="116">
        <v>4493</v>
      </c>
      <c r="F96" s="117">
        <v>4466</v>
      </c>
      <c r="G96" s="116">
        <v>4284</v>
      </c>
      <c r="H96" s="117">
        <v>4277</v>
      </c>
      <c r="I96" s="115">
        <v>209</v>
      </c>
      <c r="J96" s="113">
        <v>190</v>
      </c>
      <c r="K96" s="115">
        <v>4.7</v>
      </c>
      <c r="L96" s="113">
        <v>4.2</v>
      </c>
    </row>
    <row r="97" spans="1:12" ht="15">
      <c r="A97" t="s">
        <v>354</v>
      </c>
      <c r="B97" t="s">
        <v>360</v>
      </c>
      <c r="C97" s="112">
        <v>15097</v>
      </c>
      <c r="D97" s="112">
        <v>15164</v>
      </c>
      <c r="E97" s="116">
        <v>9492</v>
      </c>
      <c r="F97" s="117">
        <v>9519</v>
      </c>
      <c r="G97" s="116">
        <v>9057</v>
      </c>
      <c r="H97" s="117">
        <v>9087</v>
      </c>
      <c r="I97" s="115">
        <v>435</v>
      </c>
      <c r="J97" s="113">
        <v>432</v>
      </c>
      <c r="K97" s="115">
        <v>4.6</v>
      </c>
      <c r="L97" s="113">
        <v>4.5</v>
      </c>
    </row>
    <row r="98" spans="1:12" ht="15">
      <c r="A98" t="s">
        <v>361</v>
      </c>
      <c r="B98"/>
      <c r="C98" s="112">
        <v>9722</v>
      </c>
      <c r="D98" s="112">
        <v>9773</v>
      </c>
      <c r="E98" s="116">
        <v>6290</v>
      </c>
      <c r="F98" s="117">
        <v>6287</v>
      </c>
      <c r="G98" s="116">
        <v>6003</v>
      </c>
      <c r="H98" s="117">
        <v>6013</v>
      </c>
      <c r="I98" s="115">
        <v>287</v>
      </c>
      <c r="J98" s="113">
        <v>274</v>
      </c>
      <c r="K98" s="115">
        <v>4.6</v>
      </c>
      <c r="L98" s="113">
        <v>4.4</v>
      </c>
    </row>
    <row r="99" spans="1:12" ht="15">
      <c r="A99" t="s">
        <v>362</v>
      </c>
      <c r="B99"/>
      <c r="C99" s="112">
        <v>9740</v>
      </c>
      <c r="D99" s="112">
        <v>9821</v>
      </c>
      <c r="E99" s="116">
        <v>6574</v>
      </c>
      <c r="F99" s="117">
        <v>6697</v>
      </c>
      <c r="G99" s="116">
        <v>6273</v>
      </c>
      <c r="H99" s="117">
        <v>6362</v>
      </c>
      <c r="I99" s="115">
        <v>301</v>
      </c>
      <c r="J99" s="113">
        <v>336</v>
      </c>
      <c r="K99" s="115">
        <v>4.6</v>
      </c>
      <c r="L99" s="113">
        <v>5</v>
      </c>
    </row>
    <row r="100" spans="1:12" ht="15">
      <c r="A100" t="s">
        <v>363</v>
      </c>
      <c r="B100"/>
      <c r="C100" s="112">
        <v>4803</v>
      </c>
      <c r="D100" s="112">
        <v>4845</v>
      </c>
      <c r="E100" s="116">
        <v>3233</v>
      </c>
      <c r="F100" s="117">
        <v>3211</v>
      </c>
      <c r="G100" s="116">
        <v>3073</v>
      </c>
      <c r="H100" s="117">
        <v>3066</v>
      </c>
      <c r="I100" s="115">
        <v>160</v>
      </c>
      <c r="J100" s="113">
        <v>146</v>
      </c>
      <c r="K100" s="115">
        <v>4.9</v>
      </c>
      <c r="L100" s="113">
        <v>4.5</v>
      </c>
    </row>
    <row r="101" spans="1:12" ht="15">
      <c r="A101" t="s">
        <v>364</v>
      </c>
      <c r="B101"/>
      <c r="C101" s="112">
        <v>7789</v>
      </c>
      <c r="D101" s="112">
        <v>7803</v>
      </c>
      <c r="E101" s="116">
        <v>5073</v>
      </c>
      <c r="F101" s="117">
        <v>5020</v>
      </c>
      <c r="G101" s="116">
        <v>4722</v>
      </c>
      <c r="H101" s="117">
        <v>4660</v>
      </c>
      <c r="I101" s="115">
        <v>351</v>
      </c>
      <c r="J101" s="113">
        <v>360</v>
      </c>
      <c r="K101" s="115">
        <v>6.9</v>
      </c>
      <c r="L101" s="113">
        <v>7.2</v>
      </c>
    </row>
    <row r="102" spans="1:12" ht="15">
      <c r="A102" t="s">
        <v>365</v>
      </c>
      <c r="B102"/>
      <c r="C102" s="112">
        <v>8845</v>
      </c>
      <c r="D102" s="112">
        <v>8874</v>
      </c>
      <c r="E102" s="116">
        <v>5947</v>
      </c>
      <c r="F102" s="117">
        <v>5977</v>
      </c>
      <c r="G102" s="116">
        <v>5625</v>
      </c>
      <c r="H102" s="117">
        <v>5640</v>
      </c>
      <c r="I102" s="115">
        <v>322</v>
      </c>
      <c r="J102" s="113">
        <v>336</v>
      </c>
      <c r="K102" s="115">
        <v>5.4</v>
      </c>
      <c r="L102" s="113">
        <v>5.6</v>
      </c>
    </row>
    <row r="103" spans="1:12" ht="15">
      <c r="A103" t="s">
        <v>366</v>
      </c>
      <c r="B103"/>
      <c r="C103" s="112">
        <v>4323</v>
      </c>
      <c r="D103" s="112">
        <v>4359</v>
      </c>
      <c r="E103" s="116">
        <v>3069</v>
      </c>
      <c r="F103" s="117">
        <v>3089</v>
      </c>
      <c r="G103" s="116">
        <v>2924</v>
      </c>
      <c r="H103" s="117">
        <v>2938</v>
      </c>
      <c r="I103" s="115">
        <v>145</v>
      </c>
      <c r="J103" s="113">
        <v>151</v>
      </c>
      <c r="K103" s="115">
        <v>4.7</v>
      </c>
      <c r="L103" s="113">
        <v>4.9</v>
      </c>
    </row>
    <row r="104" spans="1:12" ht="15">
      <c r="A104" t="s">
        <v>367</v>
      </c>
      <c r="B104"/>
      <c r="C104" s="112">
        <v>2297</v>
      </c>
      <c r="D104" s="112">
        <v>2313</v>
      </c>
      <c r="E104" s="116">
        <v>1658</v>
      </c>
      <c r="F104" s="117">
        <v>1661</v>
      </c>
      <c r="G104" s="116">
        <v>1595</v>
      </c>
      <c r="H104" s="117">
        <v>1598</v>
      </c>
      <c r="I104" s="115">
        <v>63</v>
      </c>
      <c r="J104" s="113">
        <v>63</v>
      </c>
      <c r="K104" s="115">
        <v>3.8</v>
      </c>
      <c r="L104" s="113">
        <v>3.8</v>
      </c>
    </row>
    <row r="105" spans="1:12" ht="15">
      <c r="A105" s="129" t="s">
        <v>368</v>
      </c>
      <c r="B105" s="129"/>
      <c r="C105" s="130">
        <v>2083</v>
      </c>
      <c r="D105" s="130">
        <v>2101</v>
      </c>
      <c r="E105" s="131">
        <v>1471</v>
      </c>
      <c r="F105" s="132">
        <v>1479</v>
      </c>
      <c r="G105" s="131">
        <v>1407</v>
      </c>
      <c r="H105" s="132">
        <v>1419</v>
      </c>
      <c r="I105" s="133">
        <v>64</v>
      </c>
      <c r="J105" s="134">
        <v>60</v>
      </c>
      <c r="K105" s="133">
        <v>4.3</v>
      </c>
      <c r="L105" s="134">
        <v>4.1</v>
      </c>
    </row>
    <row r="106" spans="1:12" ht="15">
      <c r="A106" t="s">
        <v>369</v>
      </c>
      <c r="B106"/>
      <c r="C106" s="112">
        <v>3978</v>
      </c>
      <c r="D106" s="112">
        <v>4020</v>
      </c>
      <c r="E106" s="116">
        <v>2910</v>
      </c>
      <c r="F106" s="117">
        <v>2931</v>
      </c>
      <c r="G106" s="116">
        <v>2793</v>
      </c>
      <c r="H106" s="117">
        <v>2797</v>
      </c>
      <c r="I106" s="115">
        <v>118</v>
      </c>
      <c r="J106" s="113">
        <v>134</v>
      </c>
      <c r="K106" s="115">
        <v>4</v>
      </c>
      <c r="L106" s="113">
        <v>4.6</v>
      </c>
    </row>
    <row r="107" spans="1:12" ht="15">
      <c r="A107" t="s">
        <v>370</v>
      </c>
      <c r="B107"/>
      <c r="C107" s="112">
        <v>4472</v>
      </c>
      <c r="D107" s="112">
        <v>4513</v>
      </c>
      <c r="E107" s="116">
        <v>3016</v>
      </c>
      <c r="F107" s="117">
        <v>3031</v>
      </c>
      <c r="G107" s="116">
        <v>2871</v>
      </c>
      <c r="H107" s="117">
        <v>2878</v>
      </c>
      <c r="I107" s="115">
        <v>145</v>
      </c>
      <c r="J107" s="113">
        <v>153</v>
      </c>
      <c r="K107" s="115">
        <v>4.8</v>
      </c>
      <c r="L107" s="113">
        <v>5</v>
      </c>
    </row>
    <row r="108" spans="1:12" ht="15">
      <c r="A108" t="s">
        <v>371</v>
      </c>
      <c r="B108"/>
      <c r="C108" s="112">
        <v>1338</v>
      </c>
      <c r="D108" s="112">
        <v>1348</v>
      </c>
      <c r="E108" s="115">
        <v>975</v>
      </c>
      <c r="F108" s="113">
        <v>983</v>
      </c>
      <c r="G108" s="115">
        <v>945</v>
      </c>
      <c r="H108" s="113">
        <v>954</v>
      </c>
      <c r="I108" s="115">
        <v>30</v>
      </c>
      <c r="J108" s="113">
        <v>30</v>
      </c>
      <c r="K108" s="115">
        <v>3</v>
      </c>
      <c r="L108" s="113">
        <v>3</v>
      </c>
    </row>
    <row r="109" spans="1:12" ht="15">
      <c r="A109" t="s">
        <v>112</v>
      </c>
      <c r="B109"/>
      <c r="C109">
        <v>495</v>
      </c>
      <c r="D109">
        <v>497</v>
      </c>
      <c r="E109" s="115">
        <v>361</v>
      </c>
      <c r="F109" s="113">
        <v>366</v>
      </c>
      <c r="G109" s="115">
        <v>350</v>
      </c>
      <c r="H109" s="113">
        <v>354</v>
      </c>
      <c r="I109" s="115">
        <v>12</v>
      </c>
      <c r="J109" s="113">
        <v>12</v>
      </c>
      <c r="K109" s="115">
        <v>3.2</v>
      </c>
      <c r="L109" s="113">
        <v>3.2</v>
      </c>
    </row>
    <row r="110" spans="1:12" ht="15">
      <c r="A110" t="s">
        <v>119</v>
      </c>
      <c r="B110" t="s">
        <v>372</v>
      </c>
      <c r="C110">
        <v>598</v>
      </c>
      <c r="D110">
        <v>605</v>
      </c>
      <c r="E110" s="115">
        <v>437</v>
      </c>
      <c r="F110" s="113">
        <v>443</v>
      </c>
      <c r="G110" s="115">
        <v>423</v>
      </c>
      <c r="H110" s="113">
        <v>429</v>
      </c>
      <c r="I110" s="115">
        <v>13</v>
      </c>
      <c r="J110" s="113">
        <v>13</v>
      </c>
      <c r="K110" s="115">
        <v>3.1</v>
      </c>
      <c r="L110" s="113">
        <v>3</v>
      </c>
    </row>
    <row r="111" spans="1:12" ht="15">
      <c r="A111" t="s">
        <v>373</v>
      </c>
      <c r="B111"/>
      <c r="C111">
        <v>658</v>
      </c>
      <c r="D111">
        <v>668</v>
      </c>
      <c r="E111" s="115">
        <v>439</v>
      </c>
      <c r="F111" s="113">
        <v>443</v>
      </c>
      <c r="G111" s="115">
        <v>424</v>
      </c>
      <c r="H111" s="113">
        <v>428</v>
      </c>
      <c r="I111" s="115">
        <v>16</v>
      </c>
      <c r="J111" s="113">
        <v>15</v>
      </c>
      <c r="K111" s="115">
        <v>3.5</v>
      </c>
      <c r="L111" s="113">
        <v>3.4</v>
      </c>
    </row>
    <row r="112" spans="1:12" ht="15">
      <c r="A112" t="s">
        <v>86</v>
      </c>
      <c r="B112"/>
      <c r="C112">
        <v>473</v>
      </c>
      <c r="D112">
        <v>477</v>
      </c>
      <c r="E112" s="115">
        <v>320</v>
      </c>
      <c r="F112" s="113">
        <v>326</v>
      </c>
      <c r="G112" s="115">
        <v>301</v>
      </c>
      <c r="H112" s="113">
        <v>307</v>
      </c>
      <c r="I112" s="115">
        <v>19</v>
      </c>
      <c r="J112" s="113">
        <v>19</v>
      </c>
      <c r="K112" s="115">
        <v>5.9</v>
      </c>
      <c r="L112" s="113">
        <v>5.7</v>
      </c>
    </row>
    <row r="113" spans="1:12" ht="15">
      <c r="A113" t="s">
        <v>374</v>
      </c>
      <c r="B113"/>
      <c r="C113" s="112">
        <v>14164</v>
      </c>
      <c r="D113" s="112">
        <v>14356</v>
      </c>
      <c r="E113" s="116">
        <v>8939</v>
      </c>
      <c r="F113" s="117">
        <v>9148</v>
      </c>
      <c r="G113" s="116">
        <v>8634</v>
      </c>
      <c r="H113" s="117">
        <v>8779</v>
      </c>
      <c r="I113" s="115">
        <v>305</v>
      </c>
      <c r="J113" s="113">
        <v>368</v>
      </c>
      <c r="K113" s="115">
        <v>3.4</v>
      </c>
      <c r="L113" s="113">
        <v>4</v>
      </c>
    </row>
    <row r="114" spans="1:12" ht="15">
      <c r="A114" t="s">
        <v>375</v>
      </c>
      <c r="B114"/>
      <c r="C114" s="112">
        <v>6931</v>
      </c>
      <c r="D114" s="112">
        <v>7090</v>
      </c>
      <c r="E114" s="116">
        <v>4732</v>
      </c>
      <c r="F114" s="117">
        <v>4815</v>
      </c>
      <c r="G114" s="116">
        <v>4516</v>
      </c>
      <c r="H114" s="117">
        <v>4603</v>
      </c>
      <c r="I114" s="115">
        <v>216</v>
      </c>
      <c r="J114" s="113">
        <v>212</v>
      </c>
      <c r="K114" s="115">
        <v>4.6</v>
      </c>
      <c r="L114" s="113">
        <v>4.4</v>
      </c>
    </row>
    <row r="115" spans="1:12" ht="15">
      <c r="A115" t="s">
        <v>376</v>
      </c>
      <c r="B115"/>
      <c r="C115" s="112">
        <v>4299</v>
      </c>
      <c r="D115" s="112">
        <v>4328</v>
      </c>
      <c r="E115" s="116">
        <v>2974</v>
      </c>
      <c r="F115" s="117">
        <v>2980</v>
      </c>
      <c r="G115" s="116">
        <v>2862</v>
      </c>
      <c r="H115" s="117">
        <v>2874</v>
      </c>
      <c r="I115" s="115">
        <v>112</v>
      </c>
      <c r="J115" s="113">
        <v>107</v>
      </c>
      <c r="K115" s="115">
        <v>3.8</v>
      </c>
      <c r="L115" s="113">
        <v>3.6</v>
      </c>
    </row>
    <row r="116" spans="1:12" ht="15">
      <c r="A116" t="s">
        <v>111</v>
      </c>
      <c r="B116"/>
      <c r="C116" s="112">
        <v>6737</v>
      </c>
      <c r="D116" s="112">
        <v>6893</v>
      </c>
      <c r="E116" s="116">
        <v>4460</v>
      </c>
      <c r="F116" s="117">
        <v>4519</v>
      </c>
      <c r="G116" s="116">
        <v>4248</v>
      </c>
      <c r="H116" s="117">
        <v>4309</v>
      </c>
      <c r="I116" s="115">
        <v>211</v>
      </c>
      <c r="J116" s="113">
        <v>211</v>
      </c>
      <c r="K116" s="115">
        <v>4.7</v>
      </c>
      <c r="L116" s="113">
        <v>4.7</v>
      </c>
    </row>
    <row r="117" spans="1:12" ht="15">
      <c r="A117" t="s">
        <v>118</v>
      </c>
      <c r="B117"/>
      <c r="C117" s="112">
        <v>3303</v>
      </c>
      <c r="D117" s="112">
        <v>3369</v>
      </c>
      <c r="E117" s="116">
        <v>2117</v>
      </c>
      <c r="F117" s="117">
        <v>2137</v>
      </c>
      <c r="G117" s="116">
        <v>1982</v>
      </c>
      <c r="H117" s="117">
        <v>2011</v>
      </c>
      <c r="I117" s="115">
        <v>135</v>
      </c>
      <c r="J117" s="113">
        <v>125</v>
      </c>
      <c r="K117" s="115">
        <v>6.4</v>
      </c>
      <c r="L117" s="113">
        <v>5.9</v>
      </c>
    </row>
    <row r="118" spans="1:12" ht="15">
      <c r="A118" t="s">
        <v>377</v>
      </c>
      <c r="B118"/>
      <c r="C118" s="112">
        <v>5801</v>
      </c>
      <c r="D118" s="112">
        <v>5873</v>
      </c>
      <c r="E118" s="116">
        <v>3995</v>
      </c>
      <c r="F118" s="117">
        <v>4054</v>
      </c>
      <c r="G118" s="116">
        <v>3874</v>
      </c>
      <c r="H118" s="117">
        <v>3931</v>
      </c>
      <c r="I118" s="115">
        <v>121</v>
      </c>
      <c r="J118" s="113">
        <v>123</v>
      </c>
      <c r="K118" s="115">
        <v>3</v>
      </c>
      <c r="L118" s="113">
        <v>3</v>
      </c>
    </row>
    <row r="119" spans="1:12" ht="15">
      <c r="A119" t="s">
        <v>127</v>
      </c>
      <c r="B119" t="s">
        <v>378</v>
      </c>
      <c r="C119" s="112">
        <v>1442</v>
      </c>
      <c r="D119" s="112">
        <v>1447</v>
      </c>
      <c r="E119" s="115">
        <v>805</v>
      </c>
      <c r="F119" s="113">
        <v>809</v>
      </c>
      <c r="G119" s="115">
        <v>768</v>
      </c>
      <c r="H119" s="113">
        <v>772</v>
      </c>
      <c r="I119" s="115">
        <v>38</v>
      </c>
      <c r="J119" s="113">
        <v>37</v>
      </c>
      <c r="K119" s="115">
        <v>4.7</v>
      </c>
      <c r="L119" s="113">
        <v>4.6</v>
      </c>
    </row>
    <row r="120" spans="1:12" ht="15">
      <c r="A120" t="s">
        <v>379</v>
      </c>
      <c r="B120"/>
      <c r="C120" s="112">
        <v>3522</v>
      </c>
      <c r="D120" s="112">
        <v>3558</v>
      </c>
      <c r="E120" s="116">
        <v>2159</v>
      </c>
      <c r="F120" s="117">
        <v>2183</v>
      </c>
      <c r="G120" s="116">
        <v>2082</v>
      </c>
      <c r="H120" s="117">
        <v>2106</v>
      </c>
      <c r="I120" s="115">
        <v>76</v>
      </c>
      <c r="J120" s="113">
        <v>77</v>
      </c>
      <c r="K120" s="115">
        <v>3.5</v>
      </c>
      <c r="L120" s="113">
        <v>3.5</v>
      </c>
    </row>
    <row r="121" spans="1:12" ht="15">
      <c r="A121" t="s">
        <v>380</v>
      </c>
      <c r="B121"/>
      <c r="C121" s="112">
        <v>3241</v>
      </c>
      <c r="D121" s="112">
        <v>3271</v>
      </c>
      <c r="E121" s="116">
        <v>2029</v>
      </c>
      <c r="F121" s="117">
        <v>2044</v>
      </c>
      <c r="G121" s="116">
        <v>1911</v>
      </c>
      <c r="H121" s="117">
        <v>1932</v>
      </c>
      <c r="I121" s="115">
        <v>118</v>
      </c>
      <c r="J121" s="113">
        <v>112</v>
      </c>
      <c r="K121" s="115">
        <v>5.8</v>
      </c>
      <c r="L121" s="113">
        <v>5.5</v>
      </c>
    </row>
    <row r="122" spans="1:12" ht="15">
      <c r="A122" t="s">
        <v>381</v>
      </c>
      <c r="B122"/>
      <c r="C122" s="112">
        <v>2151</v>
      </c>
      <c r="D122" s="112">
        <v>2173</v>
      </c>
      <c r="E122" s="116">
        <v>1301</v>
      </c>
      <c r="F122" s="117">
        <v>1315</v>
      </c>
      <c r="G122" s="116">
        <v>1213</v>
      </c>
      <c r="H122" s="117">
        <v>1232</v>
      </c>
      <c r="I122" s="115">
        <v>88</v>
      </c>
      <c r="J122" s="113">
        <v>83</v>
      </c>
      <c r="K122" s="115">
        <v>6.7</v>
      </c>
      <c r="L122" s="113">
        <v>6.3</v>
      </c>
    </row>
    <row r="123" spans="1:12" ht="15">
      <c r="A123" t="s">
        <v>382</v>
      </c>
      <c r="B123"/>
      <c r="C123" s="112">
        <v>4682</v>
      </c>
      <c r="D123" s="112">
        <v>4751</v>
      </c>
      <c r="E123" s="116">
        <v>3008</v>
      </c>
      <c r="F123" s="117">
        <v>3037</v>
      </c>
      <c r="G123" s="116">
        <v>2854</v>
      </c>
      <c r="H123" s="117">
        <v>2894</v>
      </c>
      <c r="I123" s="115">
        <v>154</v>
      </c>
      <c r="J123" s="113">
        <v>143</v>
      </c>
      <c r="K123" s="115">
        <v>5.1</v>
      </c>
      <c r="L123" s="113">
        <v>4.7</v>
      </c>
    </row>
    <row r="124" spans="1:12" ht="15">
      <c r="A124" t="s">
        <v>383</v>
      </c>
      <c r="B124"/>
      <c r="C124" s="112">
        <v>2140</v>
      </c>
      <c r="D124" s="112">
        <v>2163</v>
      </c>
      <c r="E124" s="116">
        <v>1359</v>
      </c>
      <c r="F124" s="117">
        <v>1368</v>
      </c>
      <c r="G124" s="116">
        <v>1288</v>
      </c>
      <c r="H124" s="117">
        <v>1294</v>
      </c>
      <c r="I124" s="115">
        <v>72</v>
      </c>
      <c r="J124" s="113">
        <v>74</v>
      </c>
      <c r="K124" s="115">
        <v>5.3</v>
      </c>
      <c r="L124" s="113">
        <v>5.4</v>
      </c>
    </row>
    <row r="125" spans="1:12" ht="15">
      <c r="A125" t="s">
        <v>384</v>
      </c>
      <c r="B125"/>
      <c r="C125" s="112">
        <v>3202</v>
      </c>
      <c r="D125" s="112">
        <v>3242</v>
      </c>
      <c r="E125" s="116">
        <v>1971</v>
      </c>
      <c r="F125" s="117">
        <v>1998</v>
      </c>
      <c r="G125" s="116">
        <v>1894</v>
      </c>
      <c r="H125" s="117">
        <v>1921</v>
      </c>
      <c r="I125" s="115">
        <v>78</v>
      </c>
      <c r="J125" s="113">
        <v>77</v>
      </c>
      <c r="K125" s="115">
        <v>3.9</v>
      </c>
      <c r="L125" s="113">
        <v>3.8</v>
      </c>
    </row>
    <row r="126" spans="1:12" ht="15">
      <c r="A126" t="s">
        <v>385</v>
      </c>
      <c r="B126"/>
      <c r="C126" s="112">
        <v>2700</v>
      </c>
      <c r="D126" s="112">
        <v>2731</v>
      </c>
      <c r="E126" s="116">
        <v>1719</v>
      </c>
      <c r="F126" s="117">
        <v>1733</v>
      </c>
      <c r="G126" s="116">
        <v>1648</v>
      </c>
      <c r="H126" s="117">
        <v>1658</v>
      </c>
      <c r="I126" s="115">
        <v>71</v>
      </c>
      <c r="J126" s="113">
        <v>75</v>
      </c>
      <c r="K126" s="115">
        <v>4.1</v>
      </c>
      <c r="L126" s="113">
        <v>4.3</v>
      </c>
    </row>
    <row r="127" spans="1:12" ht="15">
      <c r="A127" t="s">
        <v>386</v>
      </c>
      <c r="B127"/>
      <c r="C127" s="112">
        <v>17091</v>
      </c>
      <c r="D127" s="112">
        <v>17487</v>
      </c>
      <c r="E127" s="116">
        <v>11378</v>
      </c>
      <c r="F127" s="117">
        <v>11492</v>
      </c>
      <c r="G127" s="116">
        <v>10816</v>
      </c>
      <c r="H127" s="117">
        <v>10993</v>
      </c>
      <c r="I127" s="115">
        <v>562</v>
      </c>
      <c r="J127" s="113">
        <v>500</v>
      </c>
      <c r="K127" s="115">
        <v>4.9</v>
      </c>
      <c r="L127" s="113">
        <v>4.3</v>
      </c>
    </row>
    <row r="128" spans="1:12" ht="15">
      <c r="A128" t="s">
        <v>387</v>
      </c>
      <c r="B128"/>
      <c r="C128" s="112">
        <v>4623</v>
      </c>
      <c r="D128" s="112">
        <v>4760</v>
      </c>
      <c r="E128" s="116">
        <v>2969</v>
      </c>
      <c r="F128" s="117">
        <v>3029</v>
      </c>
      <c r="G128" s="116">
        <v>2848</v>
      </c>
      <c r="H128" s="117">
        <v>2914</v>
      </c>
      <c r="I128" s="115">
        <v>121</v>
      </c>
      <c r="J128" s="113">
        <v>115</v>
      </c>
      <c r="K128" s="115">
        <v>4.1</v>
      </c>
      <c r="L128" s="113">
        <v>3.8</v>
      </c>
    </row>
    <row r="129" spans="1:12" ht="15">
      <c r="A129" t="s">
        <v>388</v>
      </c>
      <c r="B129"/>
      <c r="C129" s="112">
        <v>3641</v>
      </c>
      <c r="D129" s="112">
        <v>3717</v>
      </c>
      <c r="E129" s="116">
        <v>2651</v>
      </c>
      <c r="F129" s="117">
        <v>2706</v>
      </c>
      <c r="G129" s="116">
        <v>2536</v>
      </c>
      <c r="H129" s="117">
        <v>2602</v>
      </c>
      <c r="I129" s="115">
        <v>115</v>
      </c>
      <c r="J129" s="113">
        <v>104</v>
      </c>
      <c r="K129" s="115">
        <v>4.3</v>
      </c>
      <c r="L129" s="113">
        <v>3.8</v>
      </c>
    </row>
    <row r="130" spans="1:12" ht="15">
      <c r="A130" t="s">
        <v>389</v>
      </c>
      <c r="B130"/>
      <c r="C130" s="112">
        <v>1085</v>
      </c>
      <c r="D130" s="112">
        <v>1112</v>
      </c>
      <c r="E130" s="115">
        <v>742</v>
      </c>
      <c r="F130" s="113">
        <v>754</v>
      </c>
      <c r="G130" s="115">
        <v>718</v>
      </c>
      <c r="H130" s="113">
        <v>734</v>
      </c>
      <c r="I130" s="115">
        <v>23</v>
      </c>
      <c r="J130" s="113">
        <v>20</v>
      </c>
      <c r="K130" s="115">
        <v>3.2</v>
      </c>
      <c r="L130" s="113">
        <v>2.7</v>
      </c>
    </row>
    <row r="131" spans="1:12" ht="15">
      <c r="A131" t="s">
        <v>390</v>
      </c>
      <c r="B131"/>
      <c r="C131">
        <v>739</v>
      </c>
      <c r="D131">
        <v>750</v>
      </c>
      <c r="E131" s="115">
        <v>495</v>
      </c>
      <c r="F131" s="113">
        <v>501</v>
      </c>
      <c r="G131" s="115">
        <v>479</v>
      </c>
      <c r="H131" s="113">
        <v>486</v>
      </c>
      <c r="I131" s="115">
        <v>16</v>
      </c>
      <c r="J131" s="113">
        <v>16</v>
      </c>
      <c r="K131" s="115">
        <v>3.3</v>
      </c>
      <c r="L131" s="113">
        <v>3.1</v>
      </c>
    </row>
    <row r="132" spans="1:12" ht="15">
      <c r="A132" t="s">
        <v>391</v>
      </c>
      <c r="B132"/>
      <c r="C132" s="112">
        <v>1887</v>
      </c>
      <c r="D132" s="112">
        <v>1944</v>
      </c>
      <c r="E132" s="116">
        <v>1285</v>
      </c>
      <c r="F132" s="117">
        <v>1336</v>
      </c>
      <c r="G132" s="116">
        <v>1230</v>
      </c>
      <c r="H132" s="117">
        <v>1271</v>
      </c>
      <c r="I132" s="115">
        <v>54</v>
      </c>
      <c r="J132" s="113">
        <v>64</v>
      </c>
      <c r="K132" s="115">
        <v>4.2</v>
      </c>
      <c r="L132" s="113">
        <v>4.8</v>
      </c>
    </row>
    <row r="133" spans="1:12" ht="15">
      <c r="A133" t="s">
        <v>109</v>
      </c>
      <c r="B133"/>
      <c r="C133" s="112">
        <v>1469</v>
      </c>
      <c r="D133" s="112">
        <v>1494</v>
      </c>
      <c r="E133" s="115">
        <v>937</v>
      </c>
      <c r="F133" s="113">
        <v>943</v>
      </c>
      <c r="G133" s="115">
        <v>897</v>
      </c>
      <c r="H133" s="113">
        <v>910</v>
      </c>
      <c r="I133" s="115">
        <v>40</v>
      </c>
      <c r="J133" s="113">
        <v>33</v>
      </c>
      <c r="K133" s="115">
        <v>4.3</v>
      </c>
      <c r="L133" s="113">
        <v>3.5</v>
      </c>
    </row>
    <row r="134" spans="1:12" ht="15">
      <c r="A134" t="s">
        <v>392</v>
      </c>
      <c r="B134"/>
      <c r="C134" s="112">
        <v>1837</v>
      </c>
      <c r="D134" s="112">
        <v>1885</v>
      </c>
      <c r="E134" s="116">
        <v>1318</v>
      </c>
      <c r="F134" s="117">
        <v>1362</v>
      </c>
      <c r="G134" s="116">
        <v>1279</v>
      </c>
      <c r="H134" s="117">
        <v>1325</v>
      </c>
      <c r="I134" s="115">
        <v>39</v>
      </c>
      <c r="J134" s="113">
        <v>36</v>
      </c>
      <c r="K134" s="115">
        <v>3</v>
      </c>
      <c r="L134" s="113">
        <v>2.7</v>
      </c>
    </row>
    <row r="135" spans="1:12" ht="15">
      <c r="A135" t="s">
        <v>393</v>
      </c>
      <c r="B135"/>
      <c r="C135">
        <v>396</v>
      </c>
      <c r="D135">
        <v>403</v>
      </c>
      <c r="E135" s="115">
        <v>283</v>
      </c>
      <c r="F135" s="113">
        <v>288</v>
      </c>
      <c r="G135" s="115">
        <v>274</v>
      </c>
      <c r="H135" s="113">
        <v>279</v>
      </c>
      <c r="I135" s="115">
        <v>9</v>
      </c>
      <c r="J135" s="113">
        <v>9</v>
      </c>
      <c r="K135" s="115">
        <v>3.3</v>
      </c>
      <c r="L135" s="113">
        <v>3</v>
      </c>
    </row>
    <row r="136" spans="1:12" ht="15">
      <c r="A136" t="s">
        <v>394</v>
      </c>
      <c r="B136"/>
      <c r="C136">
        <v>493</v>
      </c>
      <c r="D136">
        <v>499</v>
      </c>
      <c r="E136" s="115">
        <v>351</v>
      </c>
      <c r="F136" s="113">
        <v>352</v>
      </c>
      <c r="G136" s="115">
        <v>328</v>
      </c>
      <c r="H136" s="113">
        <v>331</v>
      </c>
      <c r="I136" s="115">
        <v>23</v>
      </c>
      <c r="J136" s="113">
        <v>22</v>
      </c>
      <c r="K136" s="115">
        <v>6.5</v>
      </c>
      <c r="L136" s="113">
        <v>6.2</v>
      </c>
    </row>
    <row r="137" spans="1:12" ht="15">
      <c r="A137" t="s">
        <v>395</v>
      </c>
      <c r="B137"/>
      <c r="C137" s="112">
        <v>27369</v>
      </c>
      <c r="D137" s="112">
        <v>27699</v>
      </c>
      <c r="E137" s="116">
        <v>17907</v>
      </c>
      <c r="F137" s="117">
        <v>18188</v>
      </c>
      <c r="G137" s="116">
        <v>17030</v>
      </c>
      <c r="H137" s="117">
        <v>17209</v>
      </c>
      <c r="I137" s="115">
        <v>877</v>
      </c>
      <c r="J137" s="113">
        <v>979</v>
      </c>
      <c r="K137" s="115">
        <v>4.9</v>
      </c>
      <c r="L137" s="113">
        <v>5.4</v>
      </c>
    </row>
    <row r="138" spans="1:12" ht="15">
      <c r="A138" t="s">
        <v>396</v>
      </c>
      <c r="B138"/>
      <c r="C138">
        <v>979</v>
      </c>
      <c r="D138">
        <v>989</v>
      </c>
      <c r="E138" s="115">
        <v>648</v>
      </c>
      <c r="F138" s="113">
        <v>649</v>
      </c>
      <c r="G138" s="115">
        <v>632</v>
      </c>
      <c r="H138" s="113">
        <v>632</v>
      </c>
      <c r="I138" s="115">
        <v>16</v>
      </c>
      <c r="J138" s="113">
        <v>17</v>
      </c>
      <c r="K138" s="115">
        <v>2.5</v>
      </c>
      <c r="L138" s="113">
        <v>2.6</v>
      </c>
    </row>
    <row r="139" spans="1:12" ht="15">
      <c r="A139" t="s">
        <v>397</v>
      </c>
      <c r="B139"/>
      <c r="C139" s="112">
        <v>2892</v>
      </c>
      <c r="D139" s="112">
        <v>2943</v>
      </c>
      <c r="E139" s="116">
        <v>1902</v>
      </c>
      <c r="F139" s="117">
        <v>1928</v>
      </c>
      <c r="G139" s="116">
        <v>1800</v>
      </c>
      <c r="H139" s="117">
        <v>1827</v>
      </c>
      <c r="I139" s="115">
        <v>102</v>
      </c>
      <c r="J139" s="113">
        <v>101</v>
      </c>
      <c r="K139" s="115">
        <v>5.4</v>
      </c>
      <c r="L139" s="113">
        <v>5.2</v>
      </c>
    </row>
    <row r="140" spans="1:12" ht="15">
      <c r="A140" t="s">
        <v>398</v>
      </c>
      <c r="B140"/>
      <c r="C140" s="112">
        <v>4928</v>
      </c>
      <c r="D140" s="112">
        <v>5020</v>
      </c>
      <c r="E140" s="116">
        <v>3334</v>
      </c>
      <c r="F140" s="117">
        <v>3408</v>
      </c>
      <c r="G140" s="116">
        <v>3170</v>
      </c>
      <c r="H140" s="117">
        <v>3253</v>
      </c>
      <c r="I140" s="115">
        <v>163</v>
      </c>
      <c r="J140" s="113">
        <v>155</v>
      </c>
      <c r="K140" s="115">
        <v>4.9</v>
      </c>
      <c r="L140" s="113">
        <v>4.5</v>
      </c>
    </row>
    <row r="141" spans="1:12" ht="15">
      <c r="A141" t="s">
        <v>399</v>
      </c>
      <c r="B141"/>
      <c r="C141" s="112">
        <v>2982</v>
      </c>
      <c r="D141" s="112">
        <v>3023</v>
      </c>
      <c r="E141" s="116">
        <v>1407</v>
      </c>
      <c r="F141" s="117">
        <v>1394</v>
      </c>
      <c r="G141" s="116">
        <v>1261</v>
      </c>
      <c r="H141" s="117">
        <v>1241</v>
      </c>
      <c r="I141" s="115">
        <v>146</v>
      </c>
      <c r="J141" s="113">
        <v>152</v>
      </c>
      <c r="K141" s="115">
        <v>10.4</v>
      </c>
      <c r="L141" s="113">
        <v>10.9</v>
      </c>
    </row>
  </sheetData>
  <sheetProtection/>
  <mergeCells count="8">
    <mergeCell ref="B22:E22"/>
    <mergeCell ref="F22:I22"/>
    <mergeCell ref="J22:M22"/>
    <mergeCell ref="C86:D86"/>
    <mergeCell ref="E86:F86"/>
    <mergeCell ref="G86:H86"/>
    <mergeCell ref="I86:J86"/>
    <mergeCell ref="K86:L8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Federal_ARRA_Stimulus_Bil_2-27</dc:title>
  <dc:subject/>
  <dc:creator>srs</dc:creator>
  <cp:keywords/>
  <dc:description/>
  <cp:lastModifiedBy>John Rippetoe</cp:lastModifiedBy>
  <cp:lastPrinted>2009-02-20T15:24:06Z</cp:lastPrinted>
  <dcterms:created xsi:type="dcterms:W3CDTF">2009-01-19T14:14:48Z</dcterms:created>
  <dcterms:modified xsi:type="dcterms:W3CDTF">2014-12-08T15:51:12Z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0x0101008AC586A2ACA98C4EBCAD1DC0E3EECCF8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Reviewer">
    <vt:lpwstr/>
  </property>
  <property fmtid="{D5CDD505-2E9C-101B-9397-08002B2CF9AE}" pid="6" name="Acc Check">
    <vt:lpwstr/>
  </property>
  <property fmtid="{D5CDD505-2E9C-101B-9397-08002B2CF9AE}" pid="7" name="Approval Status">
    <vt:lpwstr/>
  </property>
  <property fmtid="{D5CDD505-2E9C-101B-9397-08002B2CF9AE}" pid="8" name="Page Layout">
    <vt:lpwstr/>
  </property>
</Properties>
</file>